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EE2" lockStructure="1"/>
  <bookViews>
    <workbookView xWindow="11505" yWindow="-15" windowWidth="11550" windowHeight="9840" tabRatio="804"/>
  </bookViews>
  <sheets>
    <sheet name="Tournament" sheetId="1" r:id="rId1"/>
    <sheet name="Countries and Timezone" sheetId="15" state="hidden" r:id="rId2"/>
    <sheet name="Dummy Table" sheetId="2" state="hidden" r:id="rId3"/>
    <sheet name="Language" sheetId="11" state="hidden" r:id="rId4"/>
    <sheet name="EULA" sheetId="17" r:id="rId5"/>
    <sheet name="About" sheetId="16" r:id="rId6"/>
  </sheets>
  <definedNames>
    <definedName name="Cities">'Countries and Timezone'!$J$2:$J$144</definedName>
    <definedName name="Countries">Language!$C$1:$AW$1</definedName>
    <definedName name="Flag1">INDIRECT('Countries and Timezone'!$E$7)</definedName>
    <definedName name="Flag10">INDIRECT('Countries and Timezone'!$E$16)</definedName>
    <definedName name="Flag11">INDIRECT('Countries and Timezone'!$E$17)</definedName>
    <definedName name="Flag12">INDIRECT('Countries and Timezone'!$E$18)</definedName>
    <definedName name="Flag13">INDIRECT('Countries and Timezone'!$E$19)</definedName>
    <definedName name="Flag14">INDIRECT('Countries and Timezone'!$E$20)</definedName>
    <definedName name="Flag15">INDIRECT('Countries and Timezone'!$E$21)</definedName>
    <definedName name="Flag16">INDIRECT('Countries and Timezone'!$E$22)</definedName>
    <definedName name="Flag17">INDIRECT('Countries and Timezone'!$E$23)</definedName>
    <definedName name="Flag18">INDIRECT('Countries and Timezone'!$E$24)</definedName>
    <definedName name="Flag19">INDIRECT('Countries and Timezone'!$E$25)</definedName>
    <definedName name="Flag2">INDIRECT('Countries and Timezone'!$E$8)</definedName>
    <definedName name="Flag20">INDIRECT('Countries and Timezone'!$E$26)</definedName>
    <definedName name="Flag21">INDIRECT('Countries and Timezone'!$E$27)</definedName>
    <definedName name="Flag22">INDIRECT('Countries and Timezone'!$E$28)</definedName>
    <definedName name="Flag23">INDIRECT('Countries and Timezone'!$E$29)</definedName>
    <definedName name="Flag24">INDIRECT('Countries and Timezone'!$E$30)</definedName>
    <definedName name="Flag25">INDIRECT('Countries and Timezone'!$E$31)</definedName>
    <definedName name="Flag26">INDIRECT('Countries and Timezone'!$E$32)</definedName>
    <definedName name="Flag27">INDIRECT('Countries and Timezone'!$E$33)</definedName>
    <definedName name="Flag28">INDIRECT('Countries and Timezone'!$E$34)</definedName>
    <definedName name="Flag29">INDIRECT('Countries and Timezone'!$E$35)</definedName>
    <definedName name="Flag3">INDIRECT('Countries and Timezone'!$E$9)</definedName>
    <definedName name="Flag30">INDIRECT('Countries and Timezone'!$E$36)</definedName>
    <definedName name="Flag31">INDIRECT('Countries and Timezone'!$E$37)</definedName>
    <definedName name="Flag32">INDIRECT('Countries and Timezone'!$E$38)</definedName>
    <definedName name="Flag33">INDIRECT('Countries and Timezone'!$E$40)</definedName>
    <definedName name="Flag34">INDIRECT('Countries and Timezone'!$E$41)</definedName>
    <definedName name="Flag35">INDIRECT('Countries and Timezone'!$E$42)</definedName>
    <definedName name="Flag36">INDIRECT('Countries and Timezone'!$E$43)</definedName>
    <definedName name="Flag37">INDIRECT('Countries and Timezone'!$E$44)</definedName>
    <definedName name="Flag38">INDIRECT('Countries and Timezone'!$E$45)</definedName>
    <definedName name="Flag39">INDIRECT('Countries and Timezone'!$E$46)</definedName>
    <definedName name="Flag4">INDIRECT('Countries and Timezone'!$E$10)</definedName>
    <definedName name="Flag40">INDIRECT('Countries and Timezone'!$E$47)</definedName>
    <definedName name="Flag41">INDIRECT('Countries and Timezone'!$E$48)</definedName>
    <definedName name="Flag42">INDIRECT('Countries and Timezone'!$E$49)</definedName>
    <definedName name="Flag43">INDIRECT('Countries and Timezone'!$E$50)</definedName>
    <definedName name="Flag44">INDIRECT('Countries and Timezone'!$E$51)</definedName>
    <definedName name="Flag45">INDIRECT('Countries and Timezone'!$E$52)</definedName>
    <definedName name="Flag46">INDIRECT('Countries and Timezone'!$E$53)</definedName>
    <definedName name="Flag47">INDIRECT('Countries and Timezone'!$E$54)</definedName>
    <definedName name="Flag48">INDIRECT('Countries and Timezone'!$E$55)</definedName>
    <definedName name="Flag49">INDIRECT('Countries and Timezone'!$E$56)</definedName>
    <definedName name="Flag5">INDIRECT('Countries and Timezone'!$E$11)</definedName>
    <definedName name="Flag50">INDIRECT('Countries and Timezone'!$E$57)</definedName>
    <definedName name="Flag51">INDIRECT('Countries and Timezone'!$E$58)</definedName>
    <definedName name="Flag52">INDIRECT('Countries and Timezone'!$E$59)</definedName>
    <definedName name="Flag53">INDIRECT('Countries and Timezone'!$E$60)</definedName>
    <definedName name="Flag54">INDIRECT('Countries and Timezone'!$E$61)</definedName>
    <definedName name="Flag55">INDIRECT('Countries and Timezone'!$E$62)</definedName>
    <definedName name="Flag56">INDIRECT('Countries and Timezone'!$E$63)</definedName>
    <definedName name="Flag57">INDIRECT('Countries and Timezone'!$E$64)</definedName>
    <definedName name="Flag58">INDIRECT('Countries and Timezone'!$E$65)</definedName>
    <definedName name="Flag59">INDIRECT('Countries and Timezone'!$E$66)</definedName>
    <definedName name="Flag6">INDIRECT('Countries and Timezone'!$E$12)</definedName>
    <definedName name="Flag60">INDIRECT('Countries and Timezone'!$E$67)</definedName>
    <definedName name="Flag61">INDIRECT('Countries and Timezone'!$E$68)</definedName>
    <definedName name="Flag62">INDIRECT('Countries and Timezone'!$E$69)</definedName>
    <definedName name="Flag63">INDIRECT('Countries and Timezone'!$E$70)</definedName>
    <definedName name="Flag64">INDIRECT('Countries and Timezone'!$E$71)</definedName>
    <definedName name="Flag65">INDIRECT('Countries and Timezone'!$E$72)</definedName>
    <definedName name="Flag7">INDIRECT('Countries and Timezone'!$E$13)</definedName>
    <definedName name="Flag8">INDIRECT('Countries and Timezone'!$E$14)</definedName>
    <definedName name="Flag9">INDIRECT('Countries and Timezone'!$E$15)</definedName>
    <definedName name="GroupA">'Countries and Timezone'!$AE$6</definedName>
    <definedName name="GroupB">'Countries and Timezone'!$AE$12</definedName>
    <definedName name="GroupC">'Countries and Timezone'!$AE$18</definedName>
    <definedName name="GroupD">'Countries and Timezone'!$AE$24</definedName>
    <definedName name="GroupE">'Countries and Timezone'!$AE$30</definedName>
    <definedName name="GroupF">'Countries and Timezone'!$AE$36</definedName>
    <definedName name="GroupG">'Countries and Timezone'!$AE$42</definedName>
    <definedName name="GroupH">'Countries and Timezone'!$AE$48</definedName>
    <definedName name="_xlnm.Print_Area" localSheetId="0">Tournament!$B$6:$AC$119</definedName>
    <definedName name="Team">'Countries and Timezone'!$C$7:$C$38</definedName>
  </definedNames>
  <calcPr calcId="145621"/>
</workbook>
</file>

<file path=xl/calcChain.xml><?xml version="1.0" encoding="utf-8"?>
<calcChain xmlns="http://schemas.openxmlformats.org/spreadsheetml/2006/main">
  <c r="F118" i="1" l="1"/>
  <c r="B6" i="1" l="1"/>
  <c r="N29" i="1"/>
  <c r="H45" i="1" s="1"/>
  <c r="H29" i="1"/>
  <c r="N61" i="1" s="1"/>
  <c r="N28" i="1"/>
  <c r="N45" i="1" s="1"/>
  <c r="H28" i="1"/>
  <c r="H44" i="1" s="1"/>
  <c r="N27" i="1"/>
  <c r="H43" i="1" s="1"/>
  <c r="H27" i="1"/>
  <c r="N59" i="1" s="1"/>
  <c r="N26" i="1"/>
  <c r="H59" i="1" s="1"/>
  <c r="H26" i="1"/>
  <c r="N58" i="1" s="1"/>
  <c r="N25" i="1"/>
  <c r="H56" i="1" s="1"/>
  <c r="H25" i="1"/>
  <c r="N57" i="1" s="1"/>
  <c r="N24" i="1"/>
  <c r="N41" i="1" s="1"/>
  <c r="H24" i="1"/>
  <c r="H40" i="1" s="1"/>
  <c r="N23" i="1"/>
  <c r="H39" i="1" s="1"/>
  <c r="H23" i="1"/>
  <c r="N38" i="1" s="1"/>
  <c r="N22" i="1"/>
  <c r="H55" i="1" s="1"/>
  <c r="H22" i="1"/>
  <c r="N54" i="1" s="1"/>
  <c r="N21" i="1"/>
  <c r="H52" i="1" s="1"/>
  <c r="H21" i="1"/>
  <c r="N53" i="1" s="1"/>
  <c r="N20" i="1"/>
  <c r="N37" i="1" s="1"/>
  <c r="H20" i="1"/>
  <c r="H36" i="1" s="1"/>
  <c r="N19" i="1"/>
  <c r="H35" i="1" s="1"/>
  <c r="H19" i="1"/>
  <c r="N34" i="1" s="1"/>
  <c r="N18" i="1"/>
  <c r="H51" i="1" s="1"/>
  <c r="H18" i="1"/>
  <c r="N50" i="1" s="1"/>
  <c r="N17" i="1"/>
  <c r="H48" i="1" s="1"/>
  <c r="H17" i="1"/>
  <c r="N49" i="1" s="1"/>
  <c r="N16" i="1"/>
  <c r="N33" i="1" s="1"/>
  <c r="N15" i="1"/>
  <c r="H46" i="1" s="1"/>
  <c r="N14" i="1"/>
  <c r="N31" i="1" s="1"/>
  <c r="H16" i="1"/>
  <c r="H32" i="1" s="1"/>
  <c r="H15" i="1"/>
  <c r="N47" i="1" s="1"/>
  <c r="H14" i="1"/>
  <c r="H30" i="1" s="1"/>
  <c r="N42" i="1" l="1"/>
  <c r="BI31" i="2" s="1"/>
  <c r="H60" i="1"/>
  <c r="N30" i="1"/>
  <c r="BI19" i="2" s="1"/>
  <c r="H33" i="1"/>
  <c r="H37" i="1"/>
  <c r="BF26" i="2" s="1"/>
  <c r="H41" i="1"/>
  <c r="N35" i="1"/>
  <c r="N39" i="1"/>
  <c r="N43" i="1"/>
  <c r="N46" i="1"/>
  <c r="H49" i="1"/>
  <c r="BF38" i="2" s="1"/>
  <c r="H53" i="1"/>
  <c r="H57" i="1"/>
  <c r="BF46" i="2" s="1"/>
  <c r="H61" i="1"/>
  <c r="N51" i="1"/>
  <c r="N55" i="1"/>
  <c r="H31" i="1"/>
  <c r="BF20" i="2" s="1"/>
  <c r="H34" i="1"/>
  <c r="H38" i="1"/>
  <c r="H42" i="1"/>
  <c r="N32" i="1"/>
  <c r="BI21" i="2" s="1"/>
  <c r="N36" i="1"/>
  <c r="N40" i="1"/>
  <c r="BI29" i="2" s="1"/>
  <c r="N44" i="1"/>
  <c r="H47" i="1"/>
  <c r="BF36" i="2" s="1"/>
  <c r="H50" i="1"/>
  <c r="H54" i="1"/>
  <c r="H58" i="1"/>
  <c r="N48" i="1"/>
  <c r="BI37" i="2" s="1"/>
  <c r="N52" i="1"/>
  <c r="N56" i="1"/>
  <c r="BI45" i="2" s="1"/>
  <c r="N60" i="1"/>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AP4" i="2"/>
  <c r="AT4" i="2"/>
  <c r="AT6" i="2"/>
  <c r="AP8" i="2"/>
  <c r="AT8" i="2"/>
  <c r="AP9" i="2"/>
  <c r="AT9" i="2"/>
  <c r="AP10" i="2"/>
  <c r="AT10" i="2"/>
  <c r="AT12" i="2"/>
  <c r="B6" i="2"/>
  <c r="C9" i="15" s="1"/>
  <c r="AP5" i="2"/>
  <c r="AT5" i="2"/>
  <c r="B53"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5" i="2"/>
  <c r="AP24" i="2"/>
  <c r="AP23" i="2"/>
  <c r="AP22" i="2"/>
  <c r="AP21" i="2"/>
  <c r="AP20" i="2"/>
  <c r="AP19" i="2"/>
  <c r="AP18" i="2"/>
  <c r="AP16" i="2"/>
  <c r="AP15" i="2"/>
  <c r="AP14" i="2"/>
  <c r="AP11" i="2"/>
  <c r="AT51" i="2"/>
  <c r="AT50" i="2"/>
  <c r="AT49" i="2"/>
  <c r="AT48" i="2"/>
  <c r="AT47" i="2"/>
  <c r="AT46" i="2"/>
  <c r="AT45" i="2"/>
  <c r="AT44" i="2"/>
  <c r="AT43" i="2"/>
  <c r="AT42" i="2"/>
  <c r="AT41" i="2"/>
  <c r="AT40" i="2"/>
  <c r="AT39" i="2"/>
  <c r="AT38" i="2"/>
  <c r="AT37" i="2"/>
  <c r="AT36" i="2"/>
  <c r="AT35" i="2"/>
  <c r="AT34" i="2"/>
  <c r="AT33" i="2"/>
  <c r="AT32" i="2"/>
  <c r="AT31" i="2"/>
  <c r="AT30" i="2"/>
  <c r="AT29" i="2"/>
  <c r="AT28" i="2"/>
  <c r="AT27" i="2"/>
  <c r="AT26" i="2"/>
  <c r="AT25" i="2"/>
  <c r="AT24" i="2"/>
  <c r="AT23" i="2"/>
  <c r="AT22" i="2"/>
  <c r="AT21" i="2"/>
  <c r="AT20" i="2"/>
  <c r="AT17" i="2"/>
  <c r="AT16" i="2"/>
  <c r="AT15" i="2"/>
  <c r="AT14" i="2"/>
  <c r="AT13" i="2"/>
  <c r="AT7" i="2"/>
  <c r="AU4" i="2"/>
  <c r="AQ6" i="2"/>
  <c r="AU6" i="2"/>
  <c r="AQ8" i="2"/>
  <c r="AQ9" i="2"/>
  <c r="AU9" i="2"/>
  <c r="AQ10" i="2"/>
  <c r="AU10" i="2"/>
  <c r="AQ12" i="2"/>
  <c r="AU12" i="2"/>
  <c r="AQ51" i="2"/>
  <c r="AQ50" i="2"/>
  <c r="AQ49" i="2"/>
  <c r="AQ48" i="2"/>
  <c r="AQ47" i="2"/>
  <c r="AQ46" i="2"/>
  <c r="AQ45" i="2"/>
  <c r="AQ44" i="2"/>
  <c r="AQ43" i="2"/>
  <c r="AQ42" i="2"/>
  <c r="AQ41" i="2"/>
  <c r="AQ40" i="2"/>
  <c r="AQ39" i="2"/>
  <c r="AQ38" i="2"/>
  <c r="AQ37" i="2"/>
  <c r="AQ36" i="2"/>
  <c r="AQ35" i="2"/>
  <c r="AQ34" i="2"/>
  <c r="AQ33" i="2"/>
  <c r="AQ32" i="2"/>
  <c r="AQ31" i="2"/>
  <c r="AQ30" i="2"/>
  <c r="AQ29" i="2"/>
  <c r="AQ28" i="2"/>
  <c r="AQ27" i="2"/>
  <c r="AQ26" i="2"/>
  <c r="AQ25" i="2"/>
  <c r="AQ24" i="2"/>
  <c r="AQ23" i="2"/>
  <c r="AQ22" i="2"/>
  <c r="AQ21" i="2"/>
  <c r="AQ20" i="2"/>
  <c r="B55" i="2"/>
  <c r="AQ19" i="2"/>
  <c r="AQ18" i="2"/>
  <c r="AP17" i="2"/>
  <c r="AQ17" i="2"/>
  <c r="B46" i="2"/>
  <c r="AQ16" i="2"/>
  <c r="B41" i="2"/>
  <c r="AQ15" i="2"/>
  <c r="B39" i="2"/>
  <c r="AP13" i="2"/>
  <c r="AQ13" i="2"/>
  <c r="B27" i="2"/>
  <c r="C21" i="15" s="1"/>
  <c r="AQ11" i="2"/>
  <c r="AP7" i="2"/>
  <c r="AQ7" i="2"/>
  <c r="AU51" i="2"/>
  <c r="AU50" i="2"/>
  <c r="AU49" i="2"/>
  <c r="AU48" i="2"/>
  <c r="AU47" i="2"/>
  <c r="AU46" i="2"/>
  <c r="AU45" i="2"/>
  <c r="AU44" i="2"/>
  <c r="AU43" i="2"/>
  <c r="AU42" i="2"/>
  <c r="AU41" i="2"/>
  <c r="AU40" i="2"/>
  <c r="AU39" i="2"/>
  <c r="AU38" i="2"/>
  <c r="AU37" i="2"/>
  <c r="AU36" i="2"/>
  <c r="AU35" i="2"/>
  <c r="AU34" i="2"/>
  <c r="AU33" i="2"/>
  <c r="AU32" i="2"/>
  <c r="AU31" i="2"/>
  <c r="AU30" i="2"/>
  <c r="AU29" i="2"/>
  <c r="AU28" i="2"/>
  <c r="AU27" i="2"/>
  <c r="AU26" i="2"/>
  <c r="AU25" i="2"/>
  <c r="AU24" i="2"/>
  <c r="AU23" i="2"/>
  <c r="AU22" i="2"/>
  <c r="AU21" i="2"/>
  <c r="AU20" i="2"/>
  <c r="AT19" i="2"/>
  <c r="AU19" i="2"/>
  <c r="AT18" i="2"/>
  <c r="AU18" i="2"/>
  <c r="B49" i="2"/>
  <c r="AU17" i="2"/>
  <c r="B47" i="2"/>
  <c r="C34" i="15" s="1"/>
  <c r="AU16" i="2"/>
  <c r="B42" i="2"/>
  <c r="AU15" i="2"/>
  <c r="AU14" i="2"/>
  <c r="B35" i="2"/>
  <c r="AU13" i="2"/>
  <c r="AT11" i="2"/>
  <c r="AU11" i="2"/>
  <c r="B14" i="2"/>
  <c r="AU7" i="2"/>
  <c r="B48" i="2"/>
  <c r="C31" i="15" s="1"/>
  <c r="AP12" i="2"/>
  <c r="B33" i="2"/>
  <c r="C24" i="15" s="1"/>
  <c r="B26" i="2"/>
  <c r="B18" i="2"/>
  <c r="C15" i="15" s="1"/>
  <c r="B19" i="2"/>
  <c r="B20" i="2"/>
  <c r="C17" i="15" s="1"/>
  <c r="B21" i="2"/>
  <c r="C18" i="15" s="1"/>
  <c r="AP6" i="2"/>
  <c r="B12" i="2"/>
  <c r="C12" i="15" s="1"/>
  <c r="B13" i="2"/>
  <c r="C13" i="15" s="1"/>
  <c r="AQ4" i="2"/>
  <c r="B5" i="2"/>
  <c r="C8" i="15" s="1"/>
  <c r="B7" i="2"/>
  <c r="N2" i="1"/>
  <c r="C4" i="1"/>
  <c r="C2" i="1"/>
  <c r="D12" i="1"/>
  <c r="T158" i="15"/>
  <c r="U160" i="15"/>
  <c r="U166" i="15"/>
  <c r="U172" i="15"/>
  <c r="U178" i="15"/>
  <c r="U184" i="15"/>
  <c r="U190" i="15"/>
  <c r="U196" i="15"/>
  <c r="U202" i="15"/>
  <c r="M2" i="15"/>
  <c r="N2" i="15"/>
  <c r="P2" i="15"/>
  <c r="P3" i="15"/>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J97" i="1"/>
  <c r="L97" i="1"/>
  <c r="J91" i="1"/>
  <c r="L91" i="1"/>
  <c r="J73" i="1"/>
  <c r="L73" i="1"/>
  <c r="J67" i="1"/>
  <c r="L67" i="1"/>
  <c r="J85" i="1"/>
  <c r="L85" i="1"/>
  <c r="J79" i="1"/>
  <c r="L79" i="1"/>
  <c r="J109" i="1"/>
  <c r="L109" i="1"/>
  <c r="J103" i="1"/>
  <c r="L103" i="1"/>
  <c r="X72" i="1"/>
  <c r="Z72" i="1"/>
  <c r="X67" i="1"/>
  <c r="Z67" i="1"/>
  <c r="X82" i="1"/>
  <c r="Z82" i="1"/>
  <c r="X77" i="1"/>
  <c r="Z77" i="1"/>
  <c r="X95" i="1"/>
  <c r="Z95" i="1"/>
  <c r="X90" i="1"/>
  <c r="Z90" i="1"/>
  <c r="X111" i="1"/>
  <c r="Z111" i="1"/>
  <c r="Y60" i="1"/>
  <c r="V62" i="1"/>
  <c r="V61" i="1"/>
  <c r="V60" i="1"/>
  <c r="T62" i="1"/>
  <c r="T61" i="1"/>
  <c r="T60" i="1"/>
  <c r="V114" i="1"/>
  <c r="V113" i="1"/>
  <c r="V112" i="1"/>
  <c r="V106" i="1"/>
  <c r="V105" i="1"/>
  <c r="V104" i="1"/>
  <c r="V98" i="1"/>
  <c r="V97" i="1"/>
  <c r="V96" i="1"/>
  <c r="V93" i="1"/>
  <c r="V92" i="1"/>
  <c r="V91" i="1"/>
  <c r="V85" i="1"/>
  <c r="V84" i="1"/>
  <c r="V83" i="1"/>
  <c r="V80" i="1"/>
  <c r="V79" i="1"/>
  <c r="V78" i="1"/>
  <c r="V75" i="1"/>
  <c r="V74" i="1"/>
  <c r="V73" i="1"/>
  <c r="V70" i="1"/>
  <c r="V69" i="1"/>
  <c r="V68" i="1"/>
  <c r="H112" i="1"/>
  <c r="H111" i="1"/>
  <c r="H110" i="1"/>
  <c r="H106" i="1"/>
  <c r="H105" i="1"/>
  <c r="H104" i="1"/>
  <c r="H100" i="1"/>
  <c r="H99" i="1"/>
  <c r="H98" i="1"/>
  <c r="H94" i="1"/>
  <c r="H93" i="1"/>
  <c r="H92" i="1"/>
  <c r="H88" i="1"/>
  <c r="H87" i="1"/>
  <c r="H86" i="1"/>
  <c r="H82" i="1"/>
  <c r="H81" i="1"/>
  <c r="H80" i="1"/>
  <c r="H76" i="1"/>
  <c r="H75" i="1"/>
  <c r="H74" i="1"/>
  <c r="H70" i="1"/>
  <c r="H69" i="1"/>
  <c r="H68" i="1"/>
  <c r="R109" i="1"/>
  <c r="R101" i="1"/>
  <c r="R88" i="1"/>
  <c r="R65" i="1"/>
  <c r="C65" i="1"/>
  <c r="B8" i="1"/>
  <c r="C10" i="1"/>
  <c r="N12" i="1"/>
  <c r="J12" i="1"/>
  <c r="H12" i="1"/>
  <c r="G12" i="1"/>
  <c r="F12" i="1"/>
  <c r="E12" i="1"/>
  <c r="C2" i="11"/>
  <c r="D2" i="11"/>
  <c r="E2" i="11" s="1"/>
  <c r="F2" i="11" s="1"/>
  <c r="G2" i="11" s="1"/>
  <c r="H2" i="11" s="1"/>
  <c r="I2" i="11" s="1"/>
  <c r="J2" i="11" s="1"/>
  <c r="K2" i="11" s="1"/>
  <c r="L2" i="11" s="1"/>
  <c r="M2" i="11" s="1"/>
  <c r="N2" i="11" s="1"/>
  <c r="O2" i="11" s="1"/>
  <c r="P2" i="11" s="1"/>
  <c r="Q2" i="11" s="1"/>
  <c r="R2" i="11" s="1"/>
  <c r="S2" i="11" s="1"/>
  <c r="T2" i="11" s="1"/>
  <c r="U2" i="11" s="1"/>
  <c r="V2" i="11" s="1"/>
  <c r="W2" i="11" s="1"/>
  <c r="X2" i="11" s="1"/>
  <c r="Y2" i="11" s="1"/>
  <c r="Z2" i="11" s="1"/>
  <c r="AB2" i="11" s="1"/>
  <c r="AD2" i="11" s="1"/>
  <c r="AE2" i="11" s="1"/>
  <c r="AF2" i="11" s="1"/>
  <c r="AG2" i="11" s="1"/>
  <c r="AH2" i="11" s="1"/>
  <c r="AI2" i="11" s="1"/>
  <c r="AJ2" i="11" s="1"/>
  <c r="AK2" i="11" s="1"/>
  <c r="AL2" i="11" s="1"/>
  <c r="AM2" i="11" s="1"/>
  <c r="AN2" i="11" s="1"/>
  <c r="AO2" i="11" s="1"/>
  <c r="AP2" i="11" s="1"/>
  <c r="AQ2" i="11" s="1"/>
  <c r="AR2" i="11" s="1"/>
  <c r="AS2" i="11" s="1"/>
  <c r="AT2" i="11" s="1"/>
  <c r="AU2" i="11" s="1"/>
  <c r="AV2" i="11" s="1"/>
  <c r="Z103" i="1"/>
  <c r="X103" i="1"/>
  <c r="BF50" i="2"/>
  <c r="BF49" i="2"/>
  <c r="BF48" i="2"/>
  <c r="BF47" i="2"/>
  <c r="BF45" i="2"/>
  <c r="BF44" i="2"/>
  <c r="BF43" i="2"/>
  <c r="BF42" i="2"/>
  <c r="BF41" i="2"/>
  <c r="BF40" i="2"/>
  <c r="BF39" i="2"/>
  <c r="BF37" i="2"/>
  <c r="BF35" i="2"/>
  <c r="BF34" i="2"/>
  <c r="BF33" i="2"/>
  <c r="BF32" i="2"/>
  <c r="BF31" i="2"/>
  <c r="BF30" i="2"/>
  <c r="BF29" i="2"/>
  <c r="BF28" i="2"/>
  <c r="BF27" i="2"/>
  <c r="BF25" i="2"/>
  <c r="BF24" i="2"/>
  <c r="BF23" i="2"/>
  <c r="BF22" i="2"/>
  <c r="BF21" i="2"/>
  <c r="BF19" i="2"/>
  <c r="BF18" i="2"/>
  <c r="BF17" i="2"/>
  <c r="BF16" i="2"/>
  <c r="BF15" i="2"/>
  <c r="BF14" i="2"/>
  <c r="BF13" i="2"/>
  <c r="BF12" i="2"/>
  <c r="BF11" i="2"/>
  <c r="BF9" i="2"/>
  <c r="BF8" i="2"/>
  <c r="BF7" i="2"/>
  <c r="BF6" i="2"/>
  <c r="BF5" i="2"/>
  <c r="BF3" i="2"/>
  <c r="BG17" i="2"/>
  <c r="BI50" i="2"/>
  <c r="BI49" i="2"/>
  <c r="BI48" i="2"/>
  <c r="BI47" i="2"/>
  <c r="BI46" i="2"/>
  <c r="BI44" i="2"/>
  <c r="BI43" i="2"/>
  <c r="BI42" i="2"/>
  <c r="BI41" i="2"/>
  <c r="BI40" i="2"/>
  <c r="BI39" i="2"/>
  <c r="BI38" i="2"/>
  <c r="BI36" i="2"/>
  <c r="BI35" i="2"/>
  <c r="BI34" i="2"/>
  <c r="BI33" i="2"/>
  <c r="BI32" i="2"/>
  <c r="BI30" i="2"/>
  <c r="BI28" i="2"/>
  <c r="BI27" i="2"/>
  <c r="BI26" i="2"/>
  <c r="BI25" i="2"/>
  <c r="BI24" i="2"/>
  <c r="BI23" i="2"/>
  <c r="BI22" i="2"/>
  <c r="BI20" i="2"/>
  <c r="BI18" i="2"/>
  <c r="BI17" i="2"/>
  <c r="BI16" i="2"/>
  <c r="BI15" i="2"/>
  <c r="BI13" i="2"/>
  <c r="BI11" i="2"/>
  <c r="BI10" i="2"/>
  <c r="BI8" i="2"/>
  <c r="BI7" i="2"/>
  <c r="BI6" i="2"/>
  <c r="BI5" i="2"/>
  <c r="BI4" i="2"/>
  <c r="BI3" i="2"/>
  <c r="BH34" i="2"/>
  <c r="BH50" i="2"/>
  <c r="BG3" i="2"/>
  <c r="BG4" i="2"/>
  <c r="BG5" i="2"/>
  <c r="BG6" i="2"/>
  <c r="BG7" i="2"/>
  <c r="BG8" i="2"/>
  <c r="BG9" i="2"/>
  <c r="BG10" i="2"/>
  <c r="BG11" i="2"/>
  <c r="BG12" i="2"/>
  <c r="BG13" i="2"/>
  <c r="BG14" i="2"/>
  <c r="BG15" i="2"/>
  <c r="BG16"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H3" i="2"/>
  <c r="BH4" i="2"/>
  <c r="BH5" i="2"/>
  <c r="BH6" i="2"/>
  <c r="BH7" i="2"/>
  <c r="BH8"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5" i="2"/>
  <c r="BH36" i="2"/>
  <c r="BH37" i="2"/>
  <c r="BH38" i="2"/>
  <c r="BH39" i="2"/>
  <c r="BH40" i="2"/>
  <c r="BH41" i="2"/>
  <c r="BH42" i="2"/>
  <c r="BH43" i="2"/>
  <c r="BH44" i="2"/>
  <c r="BH45" i="2"/>
  <c r="BH46" i="2"/>
  <c r="BH47" i="2"/>
  <c r="BH48" i="2"/>
  <c r="BH49" i="2"/>
  <c r="AR51" i="2"/>
  <c r="AR50" i="2"/>
  <c r="AR49" i="2"/>
  <c r="AR48" i="2"/>
  <c r="AR47" i="2"/>
  <c r="AR46" i="2"/>
  <c r="AR45" i="2"/>
  <c r="AR44" i="2"/>
  <c r="AR43" i="2"/>
  <c r="AR42" i="2"/>
  <c r="AR41" i="2"/>
  <c r="AR40" i="2"/>
  <c r="AR39" i="2"/>
  <c r="AR38" i="2"/>
  <c r="AR37" i="2"/>
  <c r="AR36" i="2"/>
  <c r="AR35" i="2"/>
  <c r="AR34" i="2"/>
  <c r="AR33" i="2"/>
  <c r="AR32" i="2"/>
  <c r="AR31" i="2"/>
  <c r="AR30" i="2"/>
  <c r="AR29" i="2"/>
  <c r="AR28" i="2"/>
  <c r="AR27" i="2"/>
  <c r="AR26" i="2"/>
  <c r="AR25" i="2"/>
  <c r="AR24" i="2"/>
  <c r="AR23" i="2"/>
  <c r="AR22" i="2"/>
  <c r="AR21" i="2"/>
  <c r="AR20" i="2"/>
  <c r="AR19" i="2"/>
  <c r="AR18" i="2"/>
  <c r="AR17" i="2"/>
  <c r="AR16" i="2"/>
  <c r="AR15" i="2"/>
  <c r="AR14" i="2"/>
  <c r="AR12" i="2"/>
  <c r="AR11" i="2"/>
  <c r="AR9" i="2"/>
  <c r="AR8" i="2"/>
  <c r="AR6" i="2"/>
  <c r="AR5" i="2"/>
  <c r="AR4" i="2"/>
  <c r="AV51" i="2"/>
  <c r="AV50" i="2"/>
  <c r="AV49" i="2"/>
  <c r="AV48" i="2"/>
  <c r="AV47" i="2"/>
  <c r="AV46" i="2"/>
  <c r="AV45" i="2"/>
  <c r="AV44" i="2"/>
  <c r="AV43" i="2"/>
  <c r="AV42" i="2"/>
  <c r="AV41" i="2"/>
  <c r="AV40" i="2"/>
  <c r="AV39" i="2"/>
  <c r="AV38" i="2"/>
  <c r="AV37" i="2"/>
  <c r="AV36" i="2"/>
  <c r="AV35" i="2"/>
  <c r="AV34" i="2"/>
  <c r="AV33" i="2"/>
  <c r="AV32" i="2"/>
  <c r="AV31" i="2"/>
  <c r="AV30" i="2"/>
  <c r="AV29" i="2"/>
  <c r="AV28" i="2"/>
  <c r="AV27" i="2"/>
  <c r="AV26" i="2"/>
  <c r="AV25" i="2"/>
  <c r="AV24" i="2"/>
  <c r="AV23" i="2"/>
  <c r="AV22" i="2"/>
  <c r="AV21" i="2"/>
  <c r="AV20" i="2"/>
  <c r="AV19" i="2"/>
  <c r="AV18" i="2"/>
  <c r="AV17" i="2"/>
  <c r="AV16" i="2"/>
  <c r="AV15" i="2"/>
  <c r="AV14" i="2"/>
  <c r="AV13" i="2"/>
  <c r="AV12" i="2"/>
  <c r="AV10" i="2"/>
  <c r="AV9" i="2"/>
  <c r="AV8" i="2"/>
  <c r="AV7" i="2"/>
  <c r="AV6" i="2"/>
  <c r="AV5" i="2"/>
  <c r="AV4" i="2"/>
  <c r="AW51" i="2"/>
  <c r="AS51" i="2"/>
  <c r="AW50" i="2"/>
  <c r="AS50" i="2"/>
  <c r="AW49" i="2"/>
  <c r="AS49" i="2"/>
  <c r="AW48" i="2"/>
  <c r="AS48" i="2"/>
  <c r="AW47" i="2"/>
  <c r="AS47" i="2"/>
  <c r="AW46" i="2"/>
  <c r="AS46" i="2"/>
  <c r="AW45" i="2"/>
  <c r="AS45" i="2"/>
  <c r="AW44" i="2"/>
  <c r="AS44" i="2"/>
  <c r="AW43" i="2"/>
  <c r="AS43" i="2"/>
  <c r="AW42" i="2"/>
  <c r="AS42" i="2"/>
  <c r="AW41" i="2"/>
  <c r="AS41" i="2"/>
  <c r="AW40" i="2"/>
  <c r="AS40" i="2"/>
  <c r="AW39" i="2"/>
  <c r="AS39" i="2"/>
  <c r="AW38" i="2"/>
  <c r="AS38" i="2"/>
  <c r="AW37" i="2"/>
  <c r="AS37" i="2"/>
  <c r="AW36" i="2"/>
  <c r="AS36" i="2"/>
  <c r="AW35" i="2"/>
  <c r="AS35" i="2"/>
  <c r="AW34" i="2"/>
  <c r="AS34" i="2"/>
  <c r="AW33" i="2"/>
  <c r="AS33" i="2"/>
  <c r="AW32" i="2"/>
  <c r="AS32" i="2"/>
  <c r="AW31" i="2"/>
  <c r="AS31" i="2"/>
  <c r="AW30" i="2"/>
  <c r="AS30" i="2"/>
  <c r="AW29" i="2"/>
  <c r="AS29" i="2"/>
  <c r="AW28" i="2"/>
  <c r="AS28" i="2"/>
  <c r="AW10" i="2"/>
  <c r="AS27" i="2"/>
  <c r="AW19" i="2"/>
  <c r="AS10" i="2"/>
  <c r="AS19" i="2"/>
  <c r="AS11" i="2"/>
  <c r="AS26" i="2"/>
  <c r="AW11" i="2"/>
  <c r="AW26" i="2"/>
  <c r="AW18" i="2"/>
  <c r="AS18" i="2"/>
  <c r="AW27" i="2"/>
  <c r="AW8" i="2"/>
  <c r="AS25" i="2"/>
  <c r="AW17" i="2"/>
  <c r="AS8" i="2"/>
  <c r="AS17" i="2"/>
  <c r="AW25" i="2"/>
  <c r="AW16" i="2"/>
  <c r="AW24" i="2"/>
  <c r="AS16" i="2"/>
  <c r="AS24" i="2"/>
  <c r="AW9" i="2"/>
  <c r="AS9" i="2"/>
  <c r="AS6" i="2"/>
  <c r="AS15" i="2"/>
  <c r="AS23" i="2"/>
  <c r="AW23" i="2"/>
  <c r="AW15" i="2"/>
  <c r="AW6" i="2"/>
  <c r="AW7" i="2"/>
  <c r="AS22" i="2"/>
  <c r="AS7" i="2"/>
  <c r="AW22" i="2"/>
  <c r="AW14" i="2"/>
  <c r="AS14" i="2"/>
  <c r="AS4" i="2"/>
  <c r="AS13" i="2"/>
  <c r="AS20" i="2"/>
  <c r="AW20" i="2"/>
  <c r="AW13" i="2"/>
  <c r="AW4" i="2"/>
  <c r="AW5" i="2"/>
  <c r="AS21" i="2"/>
  <c r="AS5" i="2"/>
  <c r="AW12" i="2"/>
  <c r="AS12" i="2"/>
  <c r="AW21" i="2"/>
  <c r="AB82" i="1"/>
  <c r="C63" i="15" s="1"/>
  <c r="C32" i="15"/>
  <c r="C37" i="15"/>
  <c r="B4" i="2"/>
  <c r="V77" i="1" l="1"/>
  <c r="C60" i="15" s="1"/>
  <c r="V67" i="1"/>
  <c r="C56" i="15" s="1"/>
  <c r="V90" i="1"/>
  <c r="C64" i="15" s="1"/>
  <c r="V72" i="1"/>
  <c r="C58" i="15" s="1"/>
  <c r="V82" i="1"/>
  <c r="C62" i="15" s="1"/>
  <c r="AB72" i="1"/>
  <c r="C59" i="15" s="1"/>
  <c r="AB77" i="1"/>
  <c r="C61" i="15" s="1"/>
  <c r="AB67" i="1"/>
  <c r="C57" i="15" s="1"/>
  <c r="AR10" i="2"/>
  <c r="BI9" i="2"/>
  <c r="BI14" i="2"/>
  <c r="AV11" i="2"/>
  <c r="BF10" i="2"/>
  <c r="BI12" i="2"/>
  <c r="AQ5" i="2"/>
  <c r="AR13" i="2"/>
  <c r="BF4" i="2"/>
  <c r="F53" i="2" s="1"/>
  <c r="B25" i="2"/>
  <c r="C19" i="15" s="1"/>
  <c r="B11" i="2"/>
  <c r="C11" i="15" s="1"/>
  <c r="AR7" i="2"/>
  <c r="AU5" i="2"/>
  <c r="C14" i="15"/>
  <c r="B32" i="2"/>
  <c r="C23" i="15" s="1"/>
  <c r="B54" i="2"/>
  <c r="C54" i="2" s="1"/>
  <c r="B40" i="2"/>
  <c r="C40" i="2" s="1"/>
  <c r="C5" i="2"/>
  <c r="C13" i="2"/>
  <c r="C20" i="2"/>
  <c r="C55" i="2"/>
  <c r="C27" i="2"/>
  <c r="C46" i="2"/>
  <c r="C6" i="2"/>
  <c r="C26" i="2"/>
  <c r="C19" i="2"/>
  <c r="C7" i="2"/>
  <c r="C53" i="2"/>
  <c r="C39" i="2"/>
  <c r="C18" i="2"/>
  <c r="C48" i="2"/>
  <c r="C35" i="2"/>
  <c r="C14" i="2"/>
  <c r="C47" i="2"/>
  <c r="C12" i="2"/>
  <c r="C41" i="2"/>
  <c r="C30" i="15"/>
  <c r="C42" i="2"/>
  <c r="AU8" i="2"/>
  <c r="C4" i="2"/>
  <c r="C7" i="15"/>
  <c r="C29" i="15"/>
  <c r="C35" i="15"/>
  <c r="C10" i="15"/>
  <c r="C20" i="15"/>
  <c r="C26" i="15"/>
  <c r="C49" i="2"/>
  <c r="C21" i="2"/>
  <c r="C33" i="2"/>
  <c r="C16" i="15"/>
  <c r="C27" i="15"/>
  <c r="C33" i="15"/>
  <c r="B28" i="2"/>
  <c r="AQ14" i="2"/>
  <c r="B56" i="2"/>
  <c r="B34" i="2"/>
  <c r="R7" i="15"/>
  <c r="G19" i="1" s="1"/>
  <c r="F19" i="1" s="1"/>
  <c r="R6" i="15"/>
  <c r="G18" i="1" s="1"/>
  <c r="F18" i="1" s="1"/>
  <c r="R54" i="15"/>
  <c r="G91" i="1" s="1"/>
  <c r="F91" i="1" s="1"/>
  <c r="R59" i="15"/>
  <c r="U72" i="1" s="1"/>
  <c r="T72" i="1" s="1"/>
  <c r="R51" i="15"/>
  <c r="G73" i="1" s="1"/>
  <c r="F73" i="1" s="1"/>
  <c r="R3" i="15"/>
  <c r="G15" i="1" s="1"/>
  <c r="F15" i="1" s="1"/>
  <c r="R24" i="15"/>
  <c r="G36" i="1" s="1"/>
  <c r="F36" i="1" s="1"/>
  <c r="R34" i="15"/>
  <c r="G46" i="1" s="1"/>
  <c r="F46" i="1" s="1"/>
  <c r="R56" i="15"/>
  <c r="G103" i="1" s="1"/>
  <c r="F103" i="1" s="1"/>
  <c r="R61" i="15"/>
  <c r="U82" i="1" s="1"/>
  <c r="T82" i="1" s="1"/>
  <c r="R53" i="15"/>
  <c r="G85" i="1" s="1"/>
  <c r="F85" i="1" s="1"/>
  <c r="R45" i="15"/>
  <c r="G57" i="1" s="1"/>
  <c r="F57" i="1" s="1"/>
  <c r="R37" i="15"/>
  <c r="G49" i="1" s="1"/>
  <c r="F49" i="1" s="1"/>
  <c r="R29" i="15"/>
  <c r="G41" i="1" s="1"/>
  <c r="F41" i="1" s="1"/>
  <c r="R21" i="15"/>
  <c r="G33" i="1" s="1"/>
  <c r="F33" i="1" s="1"/>
  <c r="R13" i="15"/>
  <c r="G25" i="1" s="1"/>
  <c r="F25" i="1" s="1"/>
  <c r="R10" i="15"/>
  <c r="G22" i="1" s="1"/>
  <c r="F22" i="1" s="1"/>
  <c r="R16" i="15"/>
  <c r="G28" i="1" s="1"/>
  <c r="F28" i="1" s="1"/>
  <c r="R26" i="15"/>
  <c r="G38" i="1" s="1"/>
  <c r="F38" i="1" s="1"/>
  <c r="R32" i="15"/>
  <c r="G44" i="1" s="1"/>
  <c r="F44" i="1" s="1"/>
  <c r="R42" i="15"/>
  <c r="G54" i="1" s="1"/>
  <c r="F54" i="1" s="1"/>
  <c r="R48" i="15"/>
  <c r="G60" i="1" s="1"/>
  <c r="F60" i="1" s="1"/>
  <c r="R58" i="15"/>
  <c r="U67" i="1" s="1"/>
  <c r="T67" i="1" s="1"/>
  <c r="R64" i="15"/>
  <c r="U103" i="1" s="1"/>
  <c r="T103" i="1" s="1"/>
  <c r="R65" i="15"/>
  <c r="U111" i="1" s="1"/>
  <c r="T111" i="1" s="1"/>
  <c r="R57" i="15"/>
  <c r="G109" i="1" s="1"/>
  <c r="F109" i="1" s="1"/>
  <c r="R49" i="15"/>
  <c r="G61" i="1" s="1"/>
  <c r="F61" i="1" s="1"/>
  <c r="R41" i="15"/>
  <c r="G53" i="1" s="1"/>
  <c r="F53" i="1" s="1"/>
  <c r="R33" i="15"/>
  <c r="G45" i="1" s="1"/>
  <c r="F45" i="1" s="1"/>
  <c r="R25" i="15"/>
  <c r="G37" i="1" s="1"/>
  <c r="F37" i="1" s="1"/>
  <c r="R17" i="15"/>
  <c r="G29" i="1" s="1"/>
  <c r="F29" i="1" s="1"/>
  <c r="R9" i="15"/>
  <c r="G21" i="1" s="1"/>
  <c r="F21" i="1" s="1"/>
  <c r="R2" i="15"/>
  <c r="G14" i="1" s="1"/>
  <c r="F14" i="1" s="1"/>
  <c r="R12" i="15"/>
  <c r="G24" i="1" s="1"/>
  <c r="F24" i="1" s="1"/>
  <c r="R22" i="15"/>
  <c r="G34" i="1" s="1"/>
  <c r="F34" i="1" s="1"/>
  <c r="R28" i="15"/>
  <c r="G40" i="1" s="1"/>
  <c r="F40" i="1" s="1"/>
  <c r="R38" i="15"/>
  <c r="G50" i="1" s="1"/>
  <c r="F50" i="1" s="1"/>
  <c r="R44" i="15"/>
  <c r="G56" i="1" s="1"/>
  <c r="F56" i="1" s="1"/>
  <c r="R60" i="15"/>
  <c r="U77" i="1" s="1"/>
  <c r="T77" i="1" s="1"/>
  <c r="R43" i="15"/>
  <c r="G55" i="1" s="1"/>
  <c r="F55" i="1" s="1"/>
  <c r="R35" i="15"/>
  <c r="G47" i="1" s="1"/>
  <c r="F47" i="1" s="1"/>
  <c r="R27" i="15"/>
  <c r="G39" i="1" s="1"/>
  <c r="F39" i="1" s="1"/>
  <c r="R19" i="15"/>
  <c r="G31" i="1" s="1"/>
  <c r="F31" i="1" s="1"/>
  <c r="R11" i="15"/>
  <c r="G23" i="1" s="1"/>
  <c r="F23" i="1" s="1"/>
  <c r="R8" i="15"/>
  <c r="G20" i="1" s="1"/>
  <c r="F20" i="1" s="1"/>
  <c r="R18" i="15"/>
  <c r="G30" i="1" s="1"/>
  <c r="F30" i="1" s="1"/>
  <c r="R40" i="15"/>
  <c r="G52" i="1" s="1"/>
  <c r="F52" i="1" s="1"/>
  <c r="R50" i="15"/>
  <c r="G67" i="1" s="1"/>
  <c r="F67" i="1" s="1"/>
  <c r="R5" i="15"/>
  <c r="G17" i="1" s="1"/>
  <c r="F17" i="1" s="1"/>
  <c r="R4" i="15"/>
  <c r="G16" i="1" s="1"/>
  <c r="F16" i="1" s="1"/>
  <c r="R14" i="15"/>
  <c r="G26" i="1" s="1"/>
  <c r="F26" i="1" s="1"/>
  <c r="R20" i="15"/>
  <c r="G32" i="1" s="1"/>
  <c r="F32" i="1" s="1"/>
  <c r="R30" i="15"/>
  <c r="G42" i="1" s="1"/>
  <c r="F42" i="1" s="1"/>
  <c r="R36" i="15"/>
  <c r="G48" i="1" s="1"/>
  <c r="F48" i="1" s="1"/>
  <c r="R46" i="15"/>
  <c r="G58" i="1" s="1"/>
  <c r="F58" i="1" s="1"/>
  <c r="R52" i="15"/>
  <c r="G79" i="1" s="1"/>
  <c r="F79" i="1" s="1"/>
  <c r="R62" i="15"/>
  <c r="U90" i="1" s="1"/>
  <c r="T90" i="1" s="1"/>
  <c r="R63" i="15"/>
  <c r="U95" i="1" s="1"/>
  <c r="T95" i="1" s="1"/>
  <c r="R55" i="15"/>
  <c r="G97" i="1" s="1"/>
  <c r="F97" i="1" s="1"/>
  <c r="R47" i="15"/>
  <c r="G59" i="1" s="1"/>
  <c r="F59" i="1" s="1"/>
  <c r="R39" i="15"/>
  <c r="G51" i="1" s="1"/>
  <c r="F51" i="1" s="1"/>
  <c r="R31" i="15"/>
  <c r="G43" i="1" s="1"/>
  <c r="F43" i="1" s="1"/>
  <c r="R23" i="15"/>
  <c r="G35" i="1" s="1"/>
  <c r="F35" i="1" s="1"/>
  <c r="R15" i="15"/>
  <c r="G27" i="1" s="1"/>
  <c r="F27" i="1" s="1"/>
  <c r="G46" i="2" l="1"/>
  <c r="V95" i="1"/>
  <c r="V111" i="1"/>
  <c r="AB90" i="1"/>
  <c r="AB95" i="1"/>
  <c r="G25" i="2"/>
  <c r="G54" i="2"/>
  <c r="C32" i="2"/>
  <c r="G19" i="2"/>
  <c r="C11" i="2"/>
  <c r="E48" i="2"/>
  <c r="E40" i="2"/>
  <c r="F20" i="2"/>
  <c r="F26" i="2"/>
  <c r="F27" i="2"/>
  <c r="G4" i="2"/>
  <c r="G5" i="2"/>
  <c r="G47" i="2"/>
  <c r="F4" i="2"/>
  <c r="G49" i="2"/>
  <c r="G33" i="2"/>
  <c r="E39" i="2"/>
  <c r="E53" i="2"/>
  <c r="E14" i="2"/>
  <c r="E42" i="2"/>
  <c r="E13" i="2"/>
  <c r="E11" i="2"/>
  <c r="E7" i="2"/>
  <c r="E47" i="2"/>
  <c r="E6" i="2"/>
  <c r="E12" i="2"/>
  <c r="E32" i="2"/>
  <c r="E26" i="2"/>
  <c r="E5" i="2"/>
  <c r="E49" i="2"/>
  <c r="E55" i="2"/>
  <c r="E4" i="2"/>
  <c r="E20" i="2"/>
  <c r="E41" i="2"/>
  <c r="E21" i="2"/>
  <c r="E18" i="2"/>
  <c r="E35" i="2"/>
  <c r="E33" i="2"/>
  <c r="G14" i="2"/>
  <c r="E19" i="2"/>
  <c r="F40" i="2"/>
  <c r="F11" i="2"/>
  <c r="G27" i="2"/>
  <c r="F39" i="2"/>
  <c r="E46" i="2"/>
  <c r="E27" i="2"/>
  <c r="G21" i="2"/>
  <c r="F19" i="2"/>
  <c r="H19" i="2" s="1"/>
  <c r="F49" i="2"/>
  <c r="G55" i="2"/>
  <c r="F18" i="2"/>
  <c r="F46" i="2"/>
  <c r="H46" i="2" s="1"/>
  <c r="F47" i="2"/>
  <c r="H47" i="2" s="1"/>
  <c r="E25" i="2"/>
  <c r="G53" i="2"/>
  <c r="H53" i="2" s="1"/>
  <c r="F42" i="2"/>
  <c r="G35" i="2"/>
  <c r="G48" i="2"/>
  <c r="G12" i="2"/>
  <c r="F12" i="2"/>
  <c r="F14" i="2"/>
  <c r="F35" i="2"/>
  <c r="F7" i="2"/>
  <c r="F55" i="2"/>
  <c r="G41" i="2"/>
  <c r="G11" i="2"/>
  <c r="G18" i="2"/>
  <c r="F25" i="2"/>
  <c r="H25" i="2" s="1"/>
  <c r="F33" i="2"/>
  <c r="F6" i="2"/>
  <c r="C25" i="2"/>
  <c r="F5" i="2"/>
  <c r="H5" i="2" s="1"/>
  <c r="F41" i="2"/>
  <c r="D11" i="2"/>
  <c r="G39" i="2"/>
  <c r="G32" i="2"/>
  <c r="G6" i="2"/>
  <c r="G13" i="2"/>
  <c r="F13" i="2"/>
  <c r="F21" i="2"/>
  <c r="F32" i="2"/>
  <c r="G42" i="2"/>
  <c r="F48" i="2"/>
  <c r="G26" i="2"/>
  <c r="G20" i="2"/>
  <c r="G7" i="2"/>
  <c r="C38" i="15"/>
  <c r="F54" i="2"/>
  <c r="E54" i="2"/>
  <c r="C28" i="15"/>
  <c r="G40" i="2"/>
  <c r="D26" i="2"/>
  <c r="I26" i="2" s="1"/>
  <c r="D39" i="2"/>
  <c r="I39" i="2" s="1"/>
  <c r="D48" i="2"/>
  <c r="I48" i="2" s="1"/>
  <c r="D18" i="2"/>
  <c r="I18" i="2" s="1"/>
  <c r="D14" i="2"/>
  <c r="I14" i="2" s="1"/>
  <c r="D54" i="2"/>
  <c r="I54" i="2" s="1"/>
  <c r="D6" i="2"/>
  <c r="I6" i="2" s="1"/>
  <c r="D27" i="2"/>
  <c r="I27" i="2" s="1"/>
  <c r="D21" i="2"/>
  <c r="I21" i="2" s="1"/>
  <c r="D13" i="2"/>
  <c r="I13" i="2" s="1"/>
  <c r="D19" i="2"/>
  <c r="I19" i="2" s="1"/>
  <c r="D46" i="2"/>
  <c r="I46" i="2" s="1"/>
  <c r="D40" i="2"/>
  <c r="I40" i="2" s="1"/>
  <c r="D49" i="2"/>
  <c r="I49" i="2" s="1"/>
  <c r="D20" i="2"/>
  <c r="I20" i="2" s="1"/>
  <c r="D53" i="2"/>
  <c r="I53" i="2" s="1"/>
  <c r="D5" i="2"/>
  <c r="I5" i="2" s="1"/>
  <c r="D42" i="2"/>
  <c r="I42" i="2" s="1"/>
  <c r="D32" i="2"/>
  <c r="D12" i="2"/>
  <c r="I12" i="2" s="1"/>
  <c r="D25" i="2"/>
  <c r="D33" i="2"/>
  <c r="I33" i="2" s="1"/>
  <c r="D41" i="2"/>
  <c r="I41" i="2" s="1"/>
  <c r="D47" i="2"/>
  <c r="I47" i="2" s="1"/>
  <c r="D7" i="2"/>
  <c r="I7" i="2" s="1"/>
  <c r="D35" i="2"/>
  <c r="I35" i="2" s="1"/>
  <c r="F28" i="2"/>
  <c r="C22" i="15"/>
  <c r="D28" i="2"/>
  <c r="E28" i="2"/>
  <c r="G28" i="2"/>
  <c r="C28" i="2"/>
  <c r="G34" i="2"/>
  <c r="E34" i="2"/>
  <c r="D34" i="2"/>
  <c r="C25" i="15"/>
  <c r="C34" i="2"/>
  <c r="F34" i="2"/>
  <c r="D56" i="2"/>
  <c r="C56" i="2"/>
  <c r="C36" i="15"/>
  <c r="G56" i="2"/>
  <c r="E56" i="2"/>
  <c r="F56" i="2"/>
  <c r="D55" i="2"/>
  <c r="I55" i="2" s="1"/>
  <c r="D4" i="2"/>
  <c r="I4" i="2" s="1"/>
  <c r="E60" i="15" l="1"/>
  <c r="E57" i="15"/>
  <c r="E59" i="15"/>
  <c r="E56" i="15"/>
  <c r="E64" i="15"/>
  <c r="E62" i="15"/>
  <c r="E61" i="15"/>
  <c r="E58" i="15"/>
  <c r="E63" i="15"/>
  <c r="C66" i="15"/>
  <c r="E66" i="15" s="1"/>
  <c r="AB103" i="1"/>
  <c r="C69" i="15" s="1"/>
  <c r="E69" i="15" s="1"/>
  <c r="C70" i="15"/>
  <c r="E70" i="15" s="1"/>
  <c r="N118" i="1"/>
  <c r="C72" i="15" s="1"/>
  <c r="E72" i="15" s="1"/>
  <c r="C65" i="15"/>
  <c r="E65" i="15" s="1"/>
  <c r="V103" i="1"/>
  <c r="C68" i="15" s="1"/>
  <c r="E68" i="15" s="1"/>
  <c r="C67" i="15"/>
  <c r="E67" i="15" s="1"/>
  <c r="AB111" i="1"/>
  <c r="C71" i="15" s="1"/>
  <c r="E71" i="15" s="1"/>
  <c r="H26" i="2"/>
  <c r="I11" i="2"/>
  <c r="K12" i="2" s="1"/>
  <c r="I32" i="2"/>
  <c r="H54" i="2"/>
  <c r="H27" i="2"/>
  <c r="H20" i="2"/>
  <c r="H33" i="2"/>
  <c r="H6" i="2"/>
  <c r="H4" i="2"/>
  <c r="H49" i="2"/>
  <c r="H40" i="2"/>
  <c r="H21" i="2"/>
  <c r="H14" i="2"/>
  <c r="H11" i="2"/>
  <c r="H35" i="2"/>
  <c r="I25" i="2"/>
  <c r="H42" i="2"/>
  <c r="H55" i="2"/>
  <c r="H13" i="2"/>
  <c r="H39" i="2"/>
  <c r="I34" i="2"/>
  <c r="H32" i="2"/>
  <c r="H41" i="2"/>
  <c r="H48" i="2"/>
  <c r="H12" i="2"/>
  <c r="H7" i="2"/>
  <c r="H18" i="2"/>
  <c r="K21" i="2"/>
  <c r="K49" i="2"/>
  <c r="H56" i="2"/>
  <c r="K41" i="2"/>
  <c r="K4" i="2"/>
  <c r="H34" i="2"/>
  <c r="K47" i="2"/>
  <c r="K46" i="2"/>
  <c r="K18" i="2"/>
  <c r="K20" i="2"/>
  <c r="K19" i="2"/>
  <c r="K6" i="2"/>
  <c r="K48" i="2"/>
  <c r="K39" i="2"/>
  <c r="I56" i="2"/>
  <c r="K56" i="2" s="1"/>
  <c r="I28" i="2"/>
  <c r="K42" i="2"/>
  <c r="H28" i="2"/>
  <c r="K7" i="2"/>
  <c r="K5" i="2"/>
  <c r="K40" i="2"/>
  <c r="K14" i="2" l="1"/>
  <c r="K13" i="2"/>
  <c r="K11" i="2"/>
  <c r="K33" i="2"/>
  <c r="M46" i="2"/>
  <c r="L4" i="2"/>
  <c r="L19" i="2"/>
  <c r="L18" i="2"/>
  <c r="N18" i="2"/>
  <c r="N20" i="2"/>
  <c r="N6" i="2"/>
  <c r="N4" i="2"/>
  <c r="M4" i="2"/>
  <c r="M34" i="2"/>
  <c r="N33" i="2"/>
  <c r="L5" i="2"/>
  <c r="N5" i="2"/>
  <c r="M5" i="2"/>
  <c r="L32" i="2"/>
  <c r="L7" i="2"/>
  <c r="M6" i="2"/>
  <c r="M39" i="2"/>
  <c r="L42" i="2"/>
  <c r="M40" i="2"/>
  <c r="N48" i="2"/>
  <c r="M42" i="2"/>
  <c r="L48" i="2"/>
  <c r="K28" i="2"/>
  <c r="L49" i="2"/>
  <c r="M11" i="2"/>
  <c r="L12" i="2"/>
  <c r="L39" i="2"/>
  <c r="N42" i="2"/>
  <c r="N19" i="2"/>
  <c r="M21" i="2"/>
  <c r="M19" i="2"/>
  <c r="L13" i="2"/>
  <c r="M41" i="2"/>
  <c r="N21" i="2"/>
  <c r="L20" i="2"/>
  <c r="M20" i="2"/>
  <c r="N11" i="2"/>
  <c r="N39" i="2"/>
  <c r="L40" i="2"/>
  <c r="L41" i="2"/>
  <c r="N40" i="2"/>
  <c r="N41" i="2"/>
  <c r="M18" i="2"/>
  <c r="L21" i="2"/>
  <c r="N14" i="2"/>
  <c r="M14" i="2"/>
  <c r="K34" i="2"/>
  <c r="M35" i="2"/>
  <c r="M33" i="2"/>
  <c r="K32" i="2"/>
  <c r="K35" i="2"/>
  <c r="L14" i="2"/>
  <c r="K54" i="2"/>
  <c r="N13" i="2"/>
  <c r="M13" i="2"/>
  <c r="N12" i="2"/>
  <c r="L34" i="2"/>
  <c r="M32" i="2"/>
  <c r="N34" i="2"/>
  <c r="M12" i="2"/>
  <c r="L11" i="2"/>
  <c r="L35" i="2"/>
  <c r="L33" i="2"/>
  <c r="N35" i="2"/>
  <c r="N32" i="2"/>
  <c r="M48" i="2"/>
  <c r="N49" i="2"/>
  <c r="N47" i="2"/>
  <c r="N46" i="2"/>
  <c r="L47" i="2"/>
  <c r="M47" i="2"/>
  <c r="L46" i="2"/>
  <c r="M49" i="2"/>
  <c r="L6" i="2"/>
  <c r="N7" i="2"/>
  <c r="M7" i="2"/>
  <c r="L25" i="2"/>
  <c r="N27" i="2"/>
  <c r="M26" i="2"/>
  <c r="K25" i="2"/>
  <c r="K26" i="2"/>
  <c r="N26" i="2"/>
  <c r="M25" i="2"/>
  <c r="L28" i="2"/>
  <c r="L26" i="2"/>
  <c r="L27" i="2"/>
  <c r="N54" i="2"/>
  <c r="M55" i="2"/>
  <c r="L55" i="2"/>
  <c r="M54" i="2"/>
  <c r="K55" i="2"/>
  <c r="M27" i="2"/>
  <c r="M56" i="2"/>
  <c r="N53" i="2"/>
  <c r="K53" i="2"/>
  <c r="K27" i="2"/>
  <c r="L56" i="2"/>
  <c r="M53" i="2"/>
  <c r="L53" i="2"/>
  <c r="M28" i="2"/>
  <c r="N28" i="2"/>
  <c r="N25" i="2"/>
  <c r="L54" i="2"/>
  <c r="N55" i="2"/>
  <c r="N56" i="2"/>
  <c r="A11" i="2" l="1"/>
  <c r="A4" i="2"/>
  <c r="A21" i="2"/>
  <c r="A6" i="2"/>
  <c r="A48" i="2"/>
  <c r="A18" i="2"/>
  <c r="A42" i="2"/>
  <c r="A33" i="2"/>
  <c r="A39" i="2"/>
  <c r="A5" i="2"/>
  <c r="A13" i="2"/>
  <c r="A34" i="2"/>
  <c r="A47" i="2"/>
  <c r="A26" i="2"/>
  <c r="A25" i="2"/>
  <c r="A20" i="2"/>
  <c r="A19" i="2"/>
  <c r="A46" i="2"/>
  <c r="A32" i="2"/>
  <c r="A14" i="2"/>
  <c r="A40" i="2"/>
  <c r="A41" i="2"/>
  <c r="A12" i="2"/>
  <c r="A54" i="2"/>
  <c r="A49" i="2"/>
  <c r="A35" i="2"/>
  <c r="A7" i="2"/>
  <c r="A28" i="2"/>
  <c r="A56" i="2"/>
  <c r="A27" i="2"/>
  <c r="A53" i="2"/>
  <c r="A55" i="2"/>
  <c r="P4" i="2" l="1"/>
  <c r="R4" i="2" s="1"/>
  <c r="P40" i="2"/>
  <c r="S40" i="2" s="1"/>
  <c r="P13" i="2"/>
  <c r="U13" i="2" s="1"/>
  <c r="P11" i="2"/>
  <c r="Q11" i="2" s="1"/>
  <c r="P18" i="2"/>
  <c r="Q18" i="2" s="1"/>
  <c r="P39" i="2"/>
  <c r="Q39" i="2" s="1"/>
  <c r="P25" i="2"/>
  <c r="T25" i="2" s="1"/>
  <c r="P6" i="2"/>
  <c r="W6" i="2" s="1"/>
  <c r="P19" i="2"/>
  <c r="T19" i="2" s="1"/>
  <c r="P7" i="2"/>
  <c r="T7" i="2" s="1"/>
  <c r="P5" i="2"/>
  <c r="Q5" i="2" s="1"/>
  <c r="P35" i="2"/>
  <c r="U35" i="2" s="1"/>
  <c r="P46" i="2"/>
  <c r="S46" i="2" s="1"/>
  <c r="P21" i="2"/>
  <c r="W21" i="2" s="1"/>
  <c r="P49" i="2"/>
  <c r="R49" i="2" s="1"/>
  <c r="P42" i="2"/>
  <c r="T42" i="2" s="1"/>
  <c r="P47" i="2"/>
  <c r="R47" i="2" s="1"/>
  <c r="P32" i="2"/>
  <c r="W32" i="2" s="1"/>
  <c r="P48" i="2"/>
  <c r="W48" i="2" s="1"/>
  <c r="P34" i="2"/>
  <c r="R34" i="2" s="1"/>
  <c r="P20" i="2"/>
  <c r="W20" i="2" s="1"/>
  <c r="P27" i="2"/>
  <c r="Q27" i="2" s="1"/>
  <c r="P33" i="2"/>
  <c r="U33" i="2" s="1"/>
  <c r="P12" i="2"/>
  <c r="W12" i="2" s="1"/>
  <c r="P14" i="2"/>
  <c r="U14" i="2" s="1"/>
  <c r="P41" i="2"/>
  <c r="T41" i="2" s="1"/>
  <c r="P28" i="2"/>
  <c r="T28" i="2" s="1"/>
  <c r="P26" i="2"/>
  <c r="S4" i="2"/>
  <c r="P54" i="2"/>
  <c r="P53" i="2"/>
  <c r="P56" i="2"/>
  <c r="P55" i="2"/>
  <c r="U18" i="2"/>
  <c r="R40" i="2" l="1"/>
  <c r="V40" i="2"/>
  <c r="V18" i="2"/>
  <c r="V4" i="2"/>
  <c r="Q4" i="2"/>
  <c r="W19" i="2"/>
  <c r="Q40" i="2"/>
  <c r="T40" i="2"/>
  <c r="W18" i="2"/>
  <c r="S18" i="2"/>
  <c r="Y18" i="2" s="1"/>
  <c r="U4" i="2"/>
  <c r="Q19" i="2"/>
  <c r="S19" i="2"/>
  <c r="R18" i="2"/>
  <c r="Q47" i="2"/>
  <c r="T4" i="2"/>
  <c r="U19" i="2"/>
  <c r="R19" i="2"/>
  <c r="W40" i="2"/>
  <c r="U40" i="2"/>
  <c r="T14" i="2"/>
  <c r="T18" i="2"/>
  <c r="W4" i="2"/>
  <c r="V19" i="2"/>
  <c r="T11" i="2"/>
  <c r="T13" i="2"/>
  <c r="W13" i="2"/>
  <c r="V13" i="2"/>
  <c r="R13" i="2"/>
  <c r="U25" i="2"/>
  <c r="S13" i="2"/>
  <c r="Q13" i="2"/>
  <c r="R6" i="2"/>
  <c r="Q6" i="2"/>
  <c r="V11" i="2"/>
  <c r="U6" i="2"/>
  <c r="T6" i="2"/>
  <c r="R11" i="2"/>
  <c r="V6" i="2"/>
  <c r="S11" i="2"/>
  <c r="W11" i="2"/>
  <c r="S6" i="2"/>
  <c r="U11" i="2"/>
  <c r="R39" i="2"/>
  <c r="S28" i="2"/>
  <c r="V25" i="2"/>
  <c r="W25" i="2"/>
  <c r="T48" i="2"/>
  <c r="W39" i="2"/>
  <c r="S25" i="2"/>
  <c r="R25" i="2"/>
  <c r="Q25" i="2"/>
  <c r="T32" i="2"/>
  <c r="U39" i="2"/>
  <c r="V39" i="2"/>
  <c r="T39" i="2"/>
  <c r="S39" i="2"/>
  <c r="V7" i="2"/>
  <c r="U7" i="2"/>
  <c r="R7" i="2"/>
  <c r="S41" i="2"/>
  <c r="R32" i="2"/>
  <c r="V41" i="2"/>
  <c r="T21" i="2"/>
  <c r="Q7" i="2"/>
  <c r="S7" i="2"/>
  <c r="W7" i="2"/>
  <c r="S32" i="2"/>
  <c r="U41" i="2"/>
  <c r="S21" i="2"/>
  <c r="V35" i="2"/>
  <c r="Q35" i="2"/>
  <c r="V20" i="2"/>
  <c r="Q14" i="2"/>
  <c r="S48" i="2"/>
  <c r="S5" i="2"/>
  <c r="S49" i="2"/>
  <c r="R28" i="2"/>
  <c r="R5" i="2"/>
  <c r="Q28" i="2"/>
  <c r="U28" i="2"/>
  <c r="R48" i="2"/>
  <c r="Q48" i="2"/>
  <c r="W5" i="2"/>
  <c r="V5" i="2"/>
  <c r="V49" i="2"/>
  <c r="V28" i="2"/>
  <c r="V48" i="2"/>
  <c r="T5" i="2"/>
  <c r="U49" i="2"/>
  <c r="W28" i="2"/>
  <c r="U48" i="2"/>
  <c r="U5" i="2"/>
  <c r="Q49" i="2"/>
  <c r="Q20" i="2"/>
  <c r="U47" i="2"/>
  <c r="U46" i="2"/>
  <c r="S35" i="2"/>
  <c r="T35" i="2"/>
  <c r="R35" i="2"/>
  <c r="W35" i="2"/>
  <c r="S34" i="2"/>
  <c r="S14" i="2"/>
  <c r="V14" i="2"/>
  <c r="V47" i="2"/>
  <c r="W47" i="2"/>
  <c r="S20" i="2"/>
  <c r="T20" i="2"/>
  <c r="V46" i="2"/>
  <c r="R46" i="2"/>
  <c r="W14" i="2"/>
  <c r="R14" i="2"/>
  <c r="T47" i="2"/>
  <c r="S47" i="2"/>
  <c r="U20" i="2"/>
  <c r="T46" i="2"/>
  <c r="W46" i="2"/>
  <c r="R20" i="2"/>
  <c r="Q46" i="2"/>
  <c r="W34" i="2"/>
  <c r="W42" i="2"/>
  <c r="Q12" i="2"/>
  <c r="R12" i="2"/>
  <c r="Q32" i="2"/>
  <c r="V32" i="2"/>
  <c r="Q41" i="2"/>
  <c r="W41" i="2"/>
  <c r="W49" i="2"/>
  <c r="U21" i="2"/>
  <c r="Q21" i="2"/>
  <c r="V21" i="2"/>
  <c r="U32" i="2"/>
  <c r="R41" i="2"/>
  <c r="T49" i="2"/>
  <c r="R21" i="2"/>
  <c r="V34" i="2"/>
  <c r="U34" i="2"/>
  <c r="Q42" i="2"/>
  <c r="V42" i="2"/>
  <c r="T12" i="2"/>
  <c r="T34" i="2"/>
  <c r="Q34" i="2"/>
  <c r="U42" i="2"/>
  <c r="R42" i="2"/>
  <c r="V12" i="2"/>
  <c r="U12" i="2"/>
  <c r="S42" i="2"/>
  <c r="S12" i="2"/>
  <c r="S33" i="2"/>
  <c r="Q33" i="2"/>
  <c r="W33" i="2"/>
  <c r="V33" i="2"/>
  <c r="T33" i="2"/>
  <c r="R33" i="2"/>
  <c r="T27" i="2"/>
  <c r="U27" i="2"/>
  <c r="S27" i="2"/>
  <c r="V27" i="2"/>
  <c r="W27" i="2"/>
  <c r="R27" i="2"/>
  <c r="R56" i="2"/>
  <c r="U56" i="2"/>
  <c r="V56" i="2"/>
  <c r="Q56" i="2"/>
  <c r="T56" i="2"/>
  <c r="S56" i="2"/>
  <c r="W56" i="2"/>
  <c r="T53" i="2"/>
  <c r="U53" i="2"/>
  <c r="S53" i="2"/>
  <c r="W53" i="2"/>
  <c r="V53" i="2"/>
  <c r="Q53" i="2"/>
  <c r="R53" i="2"/>
  <c r="Q54" i="2"/>
  <c r="U54" i="2"/>
  <c r="T54" i="2"/>
  <c r="W54" i="2"/>
  <c r="S54" i="2"/>
  <c r="R54" i="2"/>
  <c r="V54" i="2"/>
  <c r="S55" i="2"/>
  <c r="U55" i="2"/>
  <c r="T55" i="2"/>
  <c r="W55" i="2"/>
  <c r="Q55" i="2"/>
  <c r="R55" i="2"/>
  <c r="V55" i="2"/>
  <c r="S26" i="2"/>
  <c r="U26" i="2"/>
  <c r="T26" i="2"/>
  <c r="W26" i="2"/>
  <c r="Q26" i="2"/>
  <c r="R26" i="2"/>
  <c r="V26" i="2"/>
  <c r="Y39" i="2" l="1"/>
  <c r="Y6" i="2"/>
  <c r="Y5" i="2"/>
  <c r="Y7" i="2"/>
  <c r="Y4" i="2"/>
  <c r="Y12" i="2"/>
  <c r="Y14" i="2"/>
  <c r="Y48" i="2"/>
  <c r="Y11" i="2"/>
  <c r="Y47" i="2"/>
  <c r="Y32" i="2"/>
  <c r="Y19" i="2"/>
  <c r="Y40" i="2"/>
  <c r="Y13" i="2"/>
  <c r="Y46" i="2"/>
  <c r="Y34" i="2"/>
  <c r="Y49" i="2"/>
  <c r="Y42" i="2"/>
  <c r="Y21" i="2"/>
  <c r="Y20" i="2"/>
  <c r="Y41" i="2"/>
  <c r="Y33" i="2"/>
  <c r="Y35" i="2"/>
  <c r="Y26" i="2"/>
  <c r="Y56" i="2"/>
  <c r="Y28" i="2"/>
  <c r="Y55" i="2"/>
  <c r="Y27" i="2"/>
  <c r="Y54" i="2"/>
  <c r="Y53" i="2"/>
  <c r="Y25" i="2"/>
  <c r="AZ21" i="2" l="1"/>
  <c r="BD25" i="2"/>
  <c r="BD16" i="2"/>
  <c r="BB28" i="2"/>
  <c r="AZ14" i="2"/>
  <c r="BD39" i="2"/>
  <c r="BC37" i="2"/>
  <c r="BD51" i="2"/>
  <c r="BA32" i="2"/>
  <c r="BC23" i="2"/>
  <c r="BC38" i="2"/>
  <c r="BD32" i="2"/>
  <c r="BD26" i="2"/>
  <c r="BB38" i="2"/>
  <c r="BC44" i="2"/>
  <c r="BC15" i="2"/>
  <c r="BC17" i="2"/>
  <c r="AZ25" i="2"/>
  <c r="BA11" i="2"/>
  <c r="BC41" i="2"/>
  <c r="AZ42" i="2"/>
  <c r="BA42" i="2"/>
  <c r="BB11" i="2"/>
  <c r="BA46" i="2"/>
  <c r="BA47" i="2"/>
  <c r="AZ10" i="2"/>
  <c r="BB30" i="2"/>
  <c r="AY16" i="2"/>
  <c r="BB8" i="2"/>
  <c r="BC32" i="2"/>
  <c r="BC29" i="2"/>
  <c r="AY31" i="2"/>
  <c r="AZ6" i="2"/>
  <c r="AY47" i="2"/>
  <c r="BC22" i="2"/>
  <c r="BB6" i="2"/>
  <c r="AZ44" i="2"/>
  <c r="BD21" i="2"/>
  <c r="BD40" i="2"/>
  <c r="BA8" i="2"/>
  <c r="BD30" i="2"/>
  <c r="BB37" i="2"/>
  <c r="BD15" i="2"/>
  <c r="BD28" i="2"/>
  <c r="BB48" i="2"/>
  <c r="BC30" i="2"/>
  <c r="BB22" i="2"/>
  <c r="BB13" i="2"/>
  <c r="BB45" i="2"/>
  <c r="BA31" i="2"/>
  <c r="BA50" i="2"/>
  <c r="BD34" i="2"/>
  <c r="BC36" i="2"/>
  <c r="BB19" i="2"/>
  <c r="BD5" i="2"/>
  <c r="BC43" i="2"/>
  <c r="BB42" i="2"/>
  <c r="BD48" i="2"/>
  <c r="BC21" i="2"/>
  <c r="BC5" i="2"/>
  <c r="BC14" i="2"/>
  <c r="AY20" i="2"/>
  <c r="BA41" i="2"/>
  <c r="BD31" i="2"/>
  <c r="AZ46" i="2"/>
  <c r="BD4" i="2"/>
  <c r="BA36" i="2"/>
  <c r="BD11" i="2"/>
  <c r="BA48" i="2"/>
  <c r="BD17" i="2"/>
  <c r="BC7" i="2"/>
  <c r="BD29" i="2"/>
  <c r="BC34" i="2"/>
  <c r="AY38" i="2"/>
  <c r="AZ51" i="2"/>
  <c r="BD10" i="2"/>
  <c r="BA26" i="2"/>
  <c r="AZ47" i="2"/>
  <c r="BC33" i="2"/>
  <c r="BB32" i="2"/>
  <c r="BC28" i="2"/>
  <c r="AZ40" i="2"/>
  <c r="AY23" i="2"/>
  <c r="BC18" i="2"/>
  <c r="BD35" i="2"/>
  <c r="BC47" i="2"/>
  <c r="AY45" i="2"/>
  <c r="BB9" i="2"/>
  <c r="BD14" i="2"/>
  <c r="BA30" i="2"/>
  <c r="AZ26" i="2"/>
  <c r="AY44" i="2"/>
  <c r="BB5" i="2"/>
  <c r="BC16" i="2"/>
  <c r="AZ28" i="2"/>
  <c r="AY7" i="2"/>
  <c r="BB10" i="2"/>
  <c r="BA25" i="2"/>
  <c r="AY49" i="2"/>
  <c r="BA37" i="2"/>
  <c r="BD7" i="2"/>
  <c r="BA44" i="2"/>
  <c r="BD19" i="2"/>
  <c r="BC10" i="2"/>
  <c r="BC6" i="2"/>
  <c r="BB17" i="2"/>
  <c r="BD18" i="2"/>
  <c r="BA34" i="2"/>
  <c r="AZ34" i="2"/>
  <c r="AY50" i="2"/>
  <c r="BB16" i="2"/>
  <c r="BC20" i="2"/>
  <c r="AZ48" i="2"/>
  <c r="AY35" i="2"/>
  <c r="BA9" i="2"/>
  <c r="BB25" i="2"/>
  <c r="AY28" i="2"/>
  <c r="BD37" i="2"/>
  <c r="AZ50" i="2"/>
  <c r="BD47" i="2"/>
  <c r="AZ31" i="2"/>
  <c r="BA5" i="2"/>
  <c r="AZ35" i="2"/>
  <c r="BA12" i="2"/>
  <c r="BB18" i="2"/>
  <c r="BA24" i="2"/>
  <c r="AY13" i="2"/>
  <c r="BC42" i="2"/>
  <c r="AY4" i="2"/>
  <c r="BD42" i="2"/>
  <c r="BC39" i="2"/>
  <c r="AY8" i="2"/>
  <c r="AZ27" i="2"/>
  <c r="AY42" i="2"/>
  <c r="AZ8" i="2"/>
  <c r="BB31" i="2"/>
  <c r="BA17" i="2"/>
  <c r="BB33" i="2"/>
  <c r="BA29" i="2"/>
  <c r="AY41" i="2"/>
  <c r="BC50" i="2"/>
  <c r="AY12" i="2"/>
  <c r="BD46" i="2"/>
  <c r="BC19" i="2"/>
  <c r="BB34" i="2"/>
  <c r="AZ11" i="2"/>
  <c r="AY21" i="2"/>
  <c r="BC48" i="2"/>
  <c r="BB15" i="2"/>
  <c r="AY51" i="2"/>
  <c r="BD36" i="2"/>
  <c r="BC51" i="2"/>
  <c r="BD43" i="2"/>
  <c r="AZ7" i="2"/>
  <c r="BD49" i="2"/>
  <c r="AZ39" i="2"/>
  <c r="BA13" i="2"/>
  <c r="BB44" i="2"/>
  <c r="AZ9" i="2"/>
  <c r="AY18" i="2"/>
  <c r="BD50" i="2"/>
  <c r="BC25" i="2"/>
  <c r="BB41" i="2"/>
  <c r="AZ17" i="2"/>
  <c r="AY32" i="2"/>
  <c r="AZ16" i="2"/>
  <c r="BB39" i="2"/>
  <c r="BD20" i="2"/>
  <c r="BC13" i="2"/>
  <c r="BA21" i="2"/>
  <c r="AY30" i="2"/>
  <c r="BD24" i="2"/>
  <c r="AY26" i="2"/>
  <c r="BA20" i="2"/>
  <c r="BD9" i="2"/>
  <c r="BD23" i="2"/>
  <c r="BD44" i="2"/>
  <c r="BB26" i="2"/>
  <c r="BA15" i="2"/>
  <c r="BB40" i="2"/>
  <c r="BA27" i="2"/>
  <c r="BB46" i="2"/>
  <c r="BA33" i="2"/>
  <c r="BD8" i="2"/>
  <c r="BA45" i="2"/>
  <c r="AY9" i="2"/>
  <c r="AZ23" i="2"/>
  <c r="AY33" i="2"/>
  <c r="BA10" i="2"/>
  <c r="AZ19" i="2"/>
  <c r="AY36" i="2"/>
  <c r="AZ49" i="2"/>
  <c r="BC12" i="2"/>
  <c r="AZ24" i="2"/>
  <c r="BB51" i="2"/>
  <c r="BA39" i="2"/>
  <c r="BD13" i="2"/>
  <c r="BA51" i="2"/>
  <c r="AY17" i="2"/>
  <c r="AZ30" i="2"/>
  <c r="AY40" i="2"/>
  <c r="BA14" i="2"/>
  <c r="BC46" i="2"/>
  <c r="AY14" i="2"/>
  <c r="AZ33" i="2"/>
  <c r="AY48" i="2"/>
  <c r="AZ12" i="2"/>
  <c r="BB35" i="2"/>
  <c r="AY10" i="2"/>
  <c r="BA4" i="2"/>
  <c r="BB12" i="2"/>
  <c r="BA16" i="2"/>
  <c r="BB14" i="2"/>
  <c r="BA23" i="2"/>
  <c r="AY6" i="2"/>
  <c r="BA35" i="2"/>
  <c r="AY24" i="2"/>
  <c r="AZ37" i="2"/>
  <c r="AY46" i="2"/>
  <c r="BA18" i="2"/>
  <c r="AZ5" i="2"/>
  <c r="AY22" i="2"/>
  <c r="AZ38" i="2"/>
  <c r="BC4" i="2"/>
  <c r="AZ32" i="2"/>
  <c r="AY15" i="2"/>
  <c r="BD41" i="2"/>
  <c r="AZ18" i="2"/>
  <c r="BA43" i="2"/>
  <c r="BD6" i="2"/>
  <c r="BD27" i="2"/>
  <c r="BA7" i="2"/>
  <c r="BA49" i="2"/>
  <c r="BB4" i="2"/>
  <c r="BD12" i="2"/>
  <c r="BC27" i="2"/>
  <c r="BC26" i="2"/>
  <c r="BD33" i="2"/>
  <c r="BC45" i="2"/>
  <c r="BA19" i="2"/>
  <c r="AZ15" i="2"/>
  <c r="BB29" i="2"/>
  <c r="BA28" i="2"/>
  <c r="AY34" i="2"/>
  <c r="BB36" i="2"/>
  <c r="BC9" i="2"/>
  <c r="BD45" i="2"/>
  <c r="AZ29" i="2"/>
  <c r="BC11" i="2"/>
  <c r="BA6" i="2"/>
  <c r="BA40" i="2"/>
  <c r="BB50" i="2"/>
  <c r="BB24" i="2"/>
  <c r="BC49" i="2"/>
  <c r="AZ45" i="2"/>
  <c r="BD22" i="2"/>
  <c r="BB20" i="2"/>
  <c r="BA38" i="2"/>
  <c r="BC35" i="2"/>
  <c r="AY25" i="2"/>
  <c r="BA22" i="2"/>
  <c r="AZ43" i="2"/>
  <c r="BD38" i="2"/>
  <c r="BC31" i="2"/>
  <c r="AZ13" i="2"/>
  <c r="AZ41" i="2"/>
  <c r="BB49" i="2"/>
  <c r="AZ36" i="2"/>
  <c r="BC8" i="2"/>
  <c r="AY29" i="2"/>
  <c r="AZ22" i="2"/>
  <c r="AZ4" i="2"/>
  <c r="BB21" i="2"/>
  <c r="AY37" i="2"/>
  <c r="AY19" i="2"/>
  <c r="BC24" i="2"/>
  <c r="AY27" i="2"/>
  <c r="AY11" i="2"/>
  <c r="AY5" i="2"/>
  <c r="BC40" i="2"/>
  <c r="BB23" i="2"/>
  <c r="AZ20" i="2"/>
  <c r="BB27" i="2"/>
  <c r="BB47" i="2"/>
  <c r="BB43" i="2"/>
  <c r="BB7" i="2"/>
  <c r="AY39" i="2"/>
  <c r="AY43" i="2"/>
  <c r="AA20" i="2" l="1"/>
  <c r="AC20" i="2"/>
  <c r="AD34" i="2"/>
  <c r="AA34" i="2"/>
  <c r="AC25" i="2"/>
  <c r="AA47" i="2"/>
  <c r="AD4" i="2"/>
  <c r="AC48" i="2"/>
  <c r="AB32" i="2"/>
  <c r="AA7" i="2"/>
  <c r="AC39" i="2"/>
  <c r="AD13" i="2"/>
  <c r="AB26" i="2"/>
  <c r="AD5" i="2"/>
  <c r="AD56" i="2"/>
  <c r="AB21" i="2"/>
  <c r="AD28" i="2"/>
  <c r="AC53" i="2"/>
  <c r="AC55" i="2"/>
  <c r="AD19" i="2"/>
  <c r="AD40" i="2"/>
  <c r="Z13" i="2"/>
  <c r="AB5" i="2"/>
  <c r="Z40" i="2"/>
  <c r="AD7" i="2"/>
  <c r="AA48" i="2"/>
  <c r="AC26" i="2"/>
  <c r="AC21" i="2"/>
  <c r="AA27" i="2"/>
  <c r="AD14" i="2"/>
  <c r="AD39" i="2"/>
  <c r="AE39" i="2" s="1"/>
  <c r="AB14" i="2"/>
  <c r="AB54" i="2"/>
  <c r="AB33" i="2"/>
  <c r="AD35" i="2"/>
  <c r="AC13" i="2"/>
  <c r="AE13" i="2" s="1"/>
  <c r="Z5" i="2"/>
  <c r="AD11" i="2"/>
  <c r="Z56" i="2"/>
  <c r="AC56" i="2"/>
  <c r="AA12" i="2"/>
  <c r="Z54" i="2"/>
  <c r="AA54" i="2"/>
  <c r="AD25" i="2"/>
  <c r="AA46" i="2"/>
  <c r="AD49" i="2"/>
  <c r="AD41" i="2"/>
  <c r="AA33" i="2"/>
  <c r="Z20" i="2"/>
  <c r="AF20" i="2" s="1"/>
  <c r="AC40" i="2"/>
  <c r="AB34" i="2"/>
  <c r="AB53" i="2"/>
  <c r="AB46" i="2"/>
  <c r="AB41" i="2"/>
  <c r="AA39" i="2"/>
  <c r="AD55" i="2"/>
  <c r="Z35" i="2"/>
  <c r="AA6" i="2"/>
  <c r="AB7" i="2"/>
  <c r="AB11" i="2"/>
  <c r="AB12" i="2"/>
  <c r="AB6" i="2"/>
  <c r="AB18" i="2"/>
  <c r="AA11" i="2"/>
  <c r="AB42" i="2"/>
  <c r="AD54" i="2"/>
  <c r="AA25" i="2"/>
  <c r="AB25" i="2"/>
  <c r="Z19" i="2"/>
  <c r="Z32" i="2"/>
  <c r="AB49" i="2"/>
  <c r="AA41" i="2"/>
  <c r="AA5" i="2"/>
  <c r="AA28" i="2"/>
  <c r="AD12" i="2"/>
  <c r="AD6" i="2"/>
  <c r="AD53" i="2"/>
  <c r="AB4" i="2"/>
  <c r="AB47" i="2"/>
  <c r="AD20" i="2"/>
  <c r="AA55" i="2"/>
  <c r="AA35" i="2"/>
  <c r="AD48" i="2"/>
  <c r="AD46" i="2"/>
  <c r="AD26" i="2"/>
  <c r="AD42" i="2"/>
  <c r="AD27" i="2"/>
  <c r="AA19" i="2"/>
  <c r="AA21" i="2"/>
  <c r="AA56" i="2"/>
  <c r="AC14" i="2"/>
  <c r="AA13" i="2"/>
  <c r="Z33" i="2"/>
  <c r="AB39" i="2"/>
  <c r="AB20" i="2"/>
  <c r="AB56" i="2"/>
  <c r="AB35" i="2"/>
  <c r="Z14" i="2"/>
  <c r="Z6" i="2"/>
  <c r="AC54" i="2"/>
  <c r="Z25" i="2"/>
  <c r="AC19" i="2"/>
  <c r="AC32" i="2"/>
  <c r="AD21" i="2"/>
  <c r="AE21" i="2" s="1"/>
  <c r="AD47" i="2"/>
  <c r="AC11" i="2"/>
  <c r="AE11" i="2" s="1"/>
  <c r="Z28" i="2"/>
  <c r="AF28" i="2" s="1"/>
  <c r="AB28" i="2"/>
  <c r="Z42" i="2"/>
  <c r="AA14" i="2"/>
  <c r="AA53" i="2"/>
  <c r="AA26" i="2"/>
  <c r="AD33" i="2"/>
  <c r="AB55" i="2"/>
  <c r="AA40" i="2"/>
  <c r="AB48" i="2"/>
  <c r="AA32" i="2"/>
  <c r="AB13" i="2"/>
  <c r="AB40" i="2"/>
  <c r="AB27" i="2"/>
  <c r="AB19" i="2"/>
  <c r="AC35" i="2"/>
  <c r="AC42" i="2"/>
  <c r="AA42" i="2"/>
  <c r="Z26" i="2"/>
  <c r="AC34" i="2"/>
  <c r="Z21" i="2"/>
  <c r="AF21" i="2" s="1"/>
  <c r="AC6" i="2"/>
  <c r="AC33" i="2"/>
  <c r="Z48" i="2"/>
  <c r="Z39" i="2"/>
  <c r="AC28" i="2"/>
  <c r="Z53" i="2"/>
  <c r="Z47" i="2"/>
  <c r="AC27" i="2"/>
  <c r="Z12" i="2"/>
  <c r="AD32" i="2"/>
  <c r="AA49" i="2"/>
  <c r="Z46" i="2"/>
  <c r="AC46" i="2"/>
  <c r="AD18" i="2"/>
  <c r="AA18" i="2"/>
  <c r="AA4" i="2"/>
  <c r="AC7" i="2"/>
  <c r="Z4" i="2"/>
  <c r="AC41" i="2"/>
  <c r="Z55" i="2"/>
  <c r="AC12" i="2"/>
  <c r="AC49" i="2"/>
  <c r="AC5" i="2"/>
  <c r="Z34" i="2"/>
  <c r="AF34" i="2" s="1"/>
  <c r="AC18" i="2"/>
  <c r="Z49" i="2"/>
  <c r="AC47" i="2"/>
  <c r="Z11" i="2"/>
  <c r="Z27" i="2"/>
  <c r="Z7" i="2"/>
  <c r="AF7" i="2" s="1"/>
  <c r="Z41" i="2"/>
  <c r="Z18" i="2"/>
  <c r="AC4" i="2"/>
  <c r="AF27" i="2" l="1"/>
  <c r="AF12" i="2"/>
  <c r="AF13" i="2"/>
  <c r="AE4" i="2"/>
  <c r="AE34" i="2"/>
  <c r="AF6" i="2"/>
  <c r="AE49" i="2"/>
  <c r="AF11" i="2"/>
  <c r="AF41" i="2"/>
  <c r="AF33" i="2"/>
  <c r="AF49" i="2"/>
  <c r="AE48" i="2"/>
  <c r="AF26" i="2"/>
  <c r="AE19" i="2"/>
  <c r="AE35" i="2"/>
  <c r="AF25" i="2"/>
  <c r="AE12" i="2"/>
  <c r="AE27" i="2"/>
  <c r="AF39" i="2"/>
  <c r="AF14" i="2"/>
  <c r="AF40" i="2"/>
  <c r="AF42" i="2"/>
  <c r="AF35" i="2"/>
  <c r="AF5" i="2"/>
  <c r="AE47" i="2"/>
  <c r="AE18" i="2"/>
  <c r="AE54" i="2"/>
  <c r="AE26" i="2"/>
  <c r="AE55" i="2"/>
  <c r="AE56" i="2"/>
  <c r="AE20" i="2"/>
  <c r="AE40" i="2"/>
  <c r="AE25" i="2"/>
  <c r="AE7" i="2"/>
  <c r="AE46" i="2"/>
  <c r="AE28" i="2"/>
  <c r="AE6" i="2"/>
  <c r="AE53" i="2"/>
  <c r="AF47" i="2"/>
  <c r="AF48" i="2"/>
  <c r="AE14" i="2"/>
  <c r="AE5" i="2"/>
  <c r="AF46" i="2"/>
  <c r="AF32" i="2"/>
  <c r="AF53" i="2"/>
  <c r="AE32" i="2"/>
  <c r="AF55" i="2"/>
  <c r="AE41" i="2"/>
  <c r="AE33" i="2"/>
  <c r="AF19" i="2"/>
  <c r="AF54" i="2"/>
  <c r="AF18" i="2"/>
  <c r="AF56" i="2"/>
  <c r="AE42" i="2"/>
  <c r="AF4" i="2"/>
  <c r="AG13" i="2" l="1"/>
  <c r="AG28" i="2"/>
  <c r="AG27" i="2"/>
  <c r="AG11" i="2"/>
  <c r="AG25" i="2"/>
  <c r="AG26" i="2"/>
  <c r="AI12" i="2"/>
  <c r="AH27" i="2"/>
  <c r="AG14" i="2"/>
  <c r="AI40" i="2"/>
  <c r="AG12" i="2"/>
  <c r="AH12" i="2"/>
  <c r="AH40" i="2"/>
  <c r="AI42" i="2"/>
  <c r="AI4" i="2"/>
  <c r="AH39" i="2"/>
  <c r="AH42" i="2"/>
  <c r="AI39" i="2"/>
  <c r="AI13" i="2"/>
  <c r="AI41" i="2"/>
  <c r="AI28" i="2"/>
  <c r="AI5" i="2"/>
  <c r="AI14" i="2"/>
  <c r="AI11" i="2"/>
  <c r="AG35" i="2"/>
  <c r="AG42" i="2"/>
  <c r="AH4" i="2"/>
  <c r="AH11" i="2"/>
  <c r="AH20" i="2"/>
  <c r="AI21" i="2"/>
  <c r="AH21" i="2"/>
  <c r="AG32" i="2"/>
  <c r="AI35" i="2"/>
  <c r="AI34" i="2"/>
  <c r="AH34" i="2"/>
  <c r="AH35" i="2"/>
  <c r="AG48" i="2"/>
  <c r="AI26" i="2"/>
  <c r="AH25" i="2"/>
  <c r="AH13" i="2"/>
  <c r="AH49" i="2"/>
  <c r="AI49" i="2"/>
  <c r="AH41" i="2"/>
  <c r="AG34" i="2"/>
  <c r="AI25" i="2"/>
  <c r="AI27" i="2"/>
  <c r="AG49" i="2"/>
  <c r="AH5" i="2"/>
  <c r="AH14" i="2"/>
  <c r="X14" i="2" s="1"/>
  <c r="AG21" i="2"/>
  <c r="AH28" i="2"/>
  <c r="AH26" i="2"/>
  <c r="AG39" i="2"/>
  <c r="AG40" i="2"/>
  <c r="AG41" i="2"/>
  <c r="AG53" i="2"/>
  <c r="AI48" i="2"/>
  <c r="AG18" i="2"/>
  <c r="AH33" i="2"/>
  <c r="AH47" i="2"/>
  <c r="AG33" i="2"/>
  <c r="AG47" i="2"/>
  <c r="AI46" i="2"/>
  <c r="AI47" i="2"/>
  <c r="AH56" i="2"/>
  <c r="AH46" i="2"/>
  <c r="AI55" i="2"/>
  <c r="AI54" i="2"/>
  <c r="AH48" i="2"/>
  <c r="AI53" i="2"/>
  <c r="AG46" i="2"/>
  <c r="AH53" i="2"/>
  <c r="AI32" i="2"/>
  <c r="AH32" i="2"/>
  <c r="AG56" i="2"/>
  <c r="AI56" i="2"/>
  <c r="AI18" i="2"/>
  <c r="AH54" i="2"/>
  <c r="AG54" i="2"/>
  <c r="AI33" i="2"/>
  <c r="AG55" i="2"/>
  <c r="AG20" i="2"/>
  <c r="AH55" i="2"/>
  <c r="AG19" i="2"/>
  <c r="AH19" i="2"/>
  <c r="AH18" i="2"/>
  <c r="AI20" i="2"/>
  <c r="AI19" i="2"/>
  <c r="AI6" i="2"/>
  <c r="AH6" i="2"/>
  <c r="AI7" i="2"/>
  <c r="AH7" i="2"/>
  <c r="AG6" i="2"/>
  <c r="AG7" i="2"/>
  <c r="AG5" i="2"/>
  <c r="AG4" i="2"/>
  <c r="X40" i="2" l="1"/>
  <c r="X48" i="2"/>
  <c r="X28" i="2"/>
  <c r="X42" i="2"/>
  <c r="X12" i="2"/>
  <c r="AL11" i="2"/>
  <c r="AN11" i="2" s="1"/>
  <c r="AM11" i="2" s="1"/>
  <c r="X11" i="2"/>
  <c r="AL39" i="2"/>
  <c r="AL14" i="2"/>
  <c r="AN14" i="2" s="1"/>
  <c r="AL4" i="2"/>
  <c r="AN4" i="2" s="1"/>
  <c r="AM4" i="2" s="1"/>
  <c r="X35" i="2"/>
  <c r="AL32" i="2"/>
  <c r="AN32" i="2" s="1"/>
  <c r="AM32" i="2" s="1"/>
  <c r="AL27" i="2"/>
  <c r="AN27" i="2" s="1"/>
  <c r="AL13" i="2"/>
  <c r="AN13" i="2" s="1"/>
  <c r="AL5" i="2"/>
  <c r="AN5" i="2" s="1"/>
  <c r="X20" i="2"/>
  <c r="AL12" i="2"/>
  <c r="AN12" i="2" s="1"/>
  <c r="X39" i="2"/>
  <c r="AL26" i="2"/>
  <c r="AN26" i="2" s="1"/>
  <c r="X13" i="2"/>
  <c r="AL35" i="2"/>
  <c r="AN35" i="2" s="1"/>
  <c r="AL40" i="2"/>
  <c r="AN40" i="2" s="1"/>
  <c r="AL41" i="2"/>
  <c r="X41" i="2"/>
  <c r="AL49" i="2"/>
  <c r="X49" i="2"/>
  <c r="X26" i="2"/>
  <c r="X18" i="2"/>
  <c r="AL28" i="2"/>
  <c r="X21" i="2"/>
  <c r="AL21" i="2"/>
  <c r="X25" i="2"/>
  <c r="X27" i="2"/>
  <c r="AL42" i="2"/>
  <c r="AL25" i="2"/>
  <c r="X34" i="2"/>
  <c r="AL34" i="2"/>
  <c r="X46" i="2"/>
  <c r="X47" i="2"/>
  <c r="AL46" i="2"/>
  <c r="AN46" i="2" s="1"/>
  <c r="AM46" i="2" s="1"/>
  <c r="AL48" i="2"/>
  <c r="AN48" i="2" s="1"/>
  <c r="AL53" i="2"/>
  <c r="AN53" i="2" s="1"/>
  <c r="AM53" i="2" s="1"/>
  <c r="X53" i="2"/>
  <c r="AL47" i="2"/>
  <c r="AN47" i="2" s="1"/>
  <c r="X54" i="2"/>
  <c r="AL54" i="2"/>
  <c r="AN54" i="2" s="1"/>
  <c r="AM54" i="2" s="1"/>
  <c r="X56" i="2"/>
  <c r="X33" i="2"/>
  <c r="AL18" i="2"/>
  <c r="AN18" i="2" s="1"/>
  <c r="AM18" i="2" s="1"/>
  <c r="AL55" i="2"/>
  <c r="AN55" i="2" s="1"/>
  <c r="X19" i="2"/>
  <c r="X55" i="2"/>
  <c r="AL56" i="2"/>
  <c r="AN56" i="2" s="1"/>
  <c r="AL33" i="2"/>
  <c r="AN33" i="2" s="1"/>
  <c r="X32" i="2"/>
  <c r="AL20" i="2"/>
  <c r="AN20" i="2" s="1"/>
  <c r="AL19" i="2"/>
  <c r="AN19" i="2" s="1"/>
  <c r="AL7" i="2"/>
  <c r="AL6" i="2"/>
  <c r="AN39" i="2"/>
  <c r="AM39" i="2" s="1"/>
  <c r="AN25" i="2" l="1"/>
  <c r="AM25" i="2" s="1"/>
  <c r="AM26" i="2" s="1"/>
  <c r="AN41" i="2"/>
  <c r="AN28" i="2"/>
  <c r="AN34" i="2"/>
  <c r="AN42" i="2"/>
  <c r="AN49" i="2"/>
  <c r="AN21" i="2"/>
  <c r="AM47" i="2"/>
  <c r="AM48" i="2" s="1"/>
  <c r="AM55" i="2"/>
  <c r="AM56" i="2" s="1"/>
  <c r="AM19" i="2"/>
  <c r="AM20" i="2" s="1"/>
  <c r="AN6" i="2"/>
  <c r="AM12" i="2"/>
  <c r="AN7" i="2"/>
  <c r="AM33" i="2"/>
  <c r="AM5" i="2"/>
  <c r="AM40" i="2"/>
  <c r="AM34" i="2" l="1"/>
  <c r="AM35" i="2" s="1"/>
  <c r="AE37" i="1" s="1"/>
  <c r="AK32" i="2" s="1"/>
  <c r="AM41" i="2"/>
  <c r="AM49" i="2"/>
  <c r="AE51" i="1" s="1"/>
  <c r="AM21" i="2"/>
  <c r="AE27" i="1" s="1"/>
  <c r="AM27" i="2"/>
  <c r="AE58" i="1"/>
  <c r="AE55" i="1"/>
  <c r="AK53" i="2" s="1"/>
  <c r="AE57" i="1"/>
  <c r="AE56" i="1"/>
  <c r="AM6" i="2"/>
  <c r="AM13" i="2"/>
  <c r="AM14" i="2" s="1"/>
  <c r="AE22" i="1" s="1"/>
  <c r="AE40" i="1" l="1"/>
  <c r="AE38" i="1"/>
  <c r="AK33" i="2" s="1"/>
  <c r="AE28" i="1"/>
  <c r="AE39" i="1"/>
  <c r="AE52" i="1"/>
  <c r="AE49" i="1"/>
  <c r="AK46" i="2" s="1"/>
  <c r="AE25" i="1"/>
  <c r="AK18" i="2" s="1"/>
  <c r="AE26" i="1"/>
  <c r="AE50" i="1"/>
  <c r="AM42" i="2"/>
  <c r="AE44" i="1" s="1"/>
  <c r="AM28" i="2"/>
  <c r="AM7" i="2"/>
  <c r="AE13" i="1" s="1"/>
  <c r="AK56" i="2"/>
  <c r="AK55" i="2"/>
  <c r="AK54" i="2"/>
  <c r="AE19" i="1"/>
  <c r="AE21" i="1"/>
  <c r="AE20" i="1"/>
  <c r="AK34" i="2" l="1"/>
  <c r="AK35" i="2"/>
  <c r="AK21" i="2"/>
  <c r="AK20" i="2"/>
  <c r="AK19" i="2"/>
  <c r="AE43" i="1"/>
  <c r="AE46" i="1"/>
  <c r="AE45" i="1"/>
  <c r="AK47" i="2"/>
  <c r="AK48" i="2"/>
  <c r="AK49" i="2"/>
  <c r="AK4" i="2"/>
  <c r="AJ56" i="2"/>
  <c r="AE15" i="1"/>
  <c r="AE34" i="1"/>
  <c r="AE32" i="1"/>
  <c r="AE31" i="1"/>
  <c r="AE16" i="1"/>
  <c r="AE33" i="1"/>
  <c r="AE14" i="1"/>
  <c r="AJ54" i="2"/>
  <c r="AJ55" i="2"/>
  <c r="AJ53" i="2"/>
  <c r="AK13" i="2"/>
  <c r="AK11" i="2"/>
  <c r="AK14" i="2"/>
  <c r="AK12" i="2"/>
  <c r="AJ34" i="2" l="1"/>
  <c r="AJ35" i="2"/>
  <c r="AJ33" i="2"/>
  <c r="AJ19" i="2"/>
  <c r="AJ32" i="2"/>
  <c r="AJ21" i="2"/>
  <c r="AJ20" i="2"/>
  <c r="AJ18" i="2"/>
  <c r="AJ49" i="2"/>
  <c r="AK6" i="2"/>
  <c r="O54" i="2"/>
  <c r="AJ48" i="2"/>
  <c r="AK40" i="2"/>
  <c r="AK39" i="2"/>
  <c r="AK41" i="2"/>
  <c r="AK42" i="2"/>
  <c r="AK5" i="2"/>
  <c r="AJ46" i="2"/>
  <c r="AJ47" i="2"/>
  <c r="AK26" i="2"/>
  <c r="AK27" i="2"/>
  <c r="AK25" i="2"/>
  <c r="AK28" i="2"/>
  <c r="AK7" i="2"/>
  <c r="O55" i="2"/>
  <c r="O56" i="2"/>
  <c r="O53" i="2"/>
  <c r="AJ12" i="2"/>
  <c r="AJ11" i="2"/>
  <c r="AJ14" i="2"/>
  <c r="AJ13" i="2"/>
  <c r="O35" i="2" l="1"/>
  <c r="O34" i="2"/>
  <c r="O33" i="2"/>
  <c r="O32" i="2"/>
  <c r="O19" i="2"/>
  <c r="O21" i="2"/>
  <c r="O20" i="2"/>
  <c r="O18" i="2"/>
  <c r="AJ7" i="2"/>
  <c r="X7" i="2" s="1"/>
  <c r="AJ6" i="2"/>
  <c r="X6" i="2" s="1"/>
  <c r="O49" i="2"/>
  <c r="O47" i="2"/>
  <c r="O46" i="2"/>
  <c r="O48" i="2"/>
  <c r="AJ41" i="2"/>
  <c r="AJ42" i="2"/>
  <c r="AJ40" i="2"/>
  <c r="AJ39" i="2"/>
  <c r="AJ5" i="2"/>
  <c r="X5" i="2" s="1"/>
  <c r="AJ27" i="2"/>
  <c r="AJ28" i="2"/>
  <c r="AJ26" i="2"/>
  <c r="AJ25" i="2"/>
  <c r="AJ4" i="2"/>
  <c r="V206" i="15"/>
  <c r="V204" i="15"/>
  <c r="V203" i="15"/>
  <c r="V205" i="15"/>
  <c r="E37" i="15" s="1"/>
  <c r="O12" i="2"/>
  <c r="O13" i="2"/>
  <c r="O11" i="2"/>
  <c r="O14" i="2"/>
  <c r="V186" i="15" l="1"/>
  <c r="AA186" i="15" s="1"/>
  <c r="V188" i="15"/>
  <c r="E26" i="15" s="1"/>
  <c r="V187" i="15"/>
  <c r="E25" i="15" s="1"/>
  <c r="V185" i="15"/>
  <c r="U185" i="15" s="1"/>
  <c r="V176" i="15"/>
  <c r="E18" i="15" s="1"/>
  <c r="V173" i="15"/>
  <c r="E15" i="15" s="1"/>
  <c r="V174" i="15"/>
  <c r="E16" i="15" s="1"/>
  <c r="V175" i="15"/>
  <c r="E17" i="15" s="1"/>
  <c r="AB206" i="15"/>
  <c r="E38" i="15"/>
  <c r="X187" i="15"/>
  <c r="AA203" i="15"/>
  <c r="E35" i="15"/>
  <c r="Y204" i="15"/>
  <c r="E36" i="15"/>
  <c r="AB186" i="15"/>
  <c r="E24" i="15"/>
  <c r="Z186" i="15"/>
  <c r="X186" i="15"/>
  <c r="U186" i="15"/>
  <c r="O42" i="2"/>
  <c r="V198" i="15"/>
  <c r="E32" i="15" s="1"/>
  <c r="V200" i="15"/>
  <c r="E34" i="15" s="1"/>
  <c r="V197" i="15"/>
  <c r="E31" i="15" s="1"/>
  <c r="V199" i="15"/>
  <c r="E33" i="15" s="1"/>
  <c r="O41" i="2"/>
  <c r="O39" i="2"/>
  <c r="O40" i="2"/>
  <c r="O6" i="2"/>
  <c r="O28" i="2"/>
  <c r="O26" i="2"/>
  <c r="O27" i="2"/>
  <c r="O25" i="2"/>
  <c r="X4" i="2"/>
  <c r="O4" i="2" s="1"/>
  <c r="O7" i="2"/>
  <c r="Y206" i="15"/>
  <c r="Y203" i="15"/>
  <c r="AA204" i="15"/>
  <c r="Z204" i="15"/>
  <c r="X204" i="15"/>
  <c r="U204" i="15"/>
  <c r="AA206" i="15"/>
  <c r="Z206" i="15"/>
  <c r="X206" i="15"/>
  <c r="U206" i="15"/>
  <c r="AB204" i="15"/>
  <c r="AB203" i="15"/>
  <c r="U203" i="15"/>
  <c r="X203" i="15"/>
  <c r="Z203" i="15"/>
  <c r="X205" i="15"/>
  <c r="Y205" i="15"/>
  <c r="AA205" i="15"/>
  <c r="U205" i="15"/>
  <c r="AB205" i="15"/>
  <c r="Z205" i="15"/>
  <c r="V169" i="15"/>
  <c r="E13" i="15" s="1"/>
  <c r="V167" i="15"/>
  <c r="E11" i="15" s="1"/>
  <c r="V170" i="15"/>
  <c r="E14" i="15" s="1"/>
  <c r="V168" i="15"/>
  <c r="E12" i="15" s="1"/>
  <c r="Y186" i="15" l="1"/>
  <c r="U188" i="15"/>
  <c r="AB188" i="15"/>
  <c r="AA188" i="15"/>
  <c r="Z188" i="15"/>
  <c r="Y188" i="15"/>
  <c r="X188" i="15"/>
  <c r="Y187" i="15"/>
  <c r="AA187" i="15"/>
  <c r="U187" i="15"/>
  <c r="Z187" i="15"/>
  <c r="AB187" i="15"/>
  <c r="X185" i="15"/>
  <c r="X176" i="15"/>
  <c r="Z185" i="15"/>
  <c r="AB185" i="15"/>
  <c r="AA185" i="15"/>
  <c r="E23" i="15"/>
  <c r="Y185" i="15"/>
  <c r="X174" i="15"/>
  <c r="Y176" i="15"/>
  <c r="AA174" i="15"/>
  <c r="AA176" i="15"/>
  <c r="Z174" i="15"/>
  <c r="U176" i="15"/>
  <c r="Z176" i="15"/>
  <c r="AB176" i="15"/>
  <c r="AB173" i="15"/>
  <c r="Z173" i="15"/>
  <c r="Y174" i="15"/>
  <c r="U174" i="15"/>
  <c r="AB174" i="15"/>
  <c r="U173" i="15"/>
  <c r="X173" i="15"/>
  <c r="AA173" i="15"/>
  <c r="Y173" i="15"/>
  <c r="Z175" i="15"/>
  <c r="Y175" i="15"/>
  <c r="AA175" i="15"/>
  <c r="U175" i="15"/>
  <c r="AB175" i="15"/>
  <c r="X175" i="15"/>
  <c r="W186" i="15"/>
  <c r="N103" i="1" s="1"/>
  <c r="C53" i="15" s="1"/>
  <c r="E53" i="15" s="1"/>
  <c r="O5" i="2"/>
  <c r="V161" i="15" s="1"/>
  <c r="E7" i="15" s="1"/>
  <c r="Z198" i="15"/>
  <c r="AA198" i="15"/>
  <c r="X198" i="15"/>
  <c r="AB198" i="15"/>
  <c r="Y198" i="15"/>
  <c r="U198" i="15"/>
  <c r="AB197" i="15"/>
  <c r="AA197" i="15"/>
  <c r="Y197" i="15"/>
  <c r="U197" i="15"/>
  <c r="X197" i="15"/>
  <c r="Z197" i="15"/>
  <c r="AA199" i="15"/>
  <c r="AB199" i="15"/>
  <c r="Y199" i="15"/>
  <c r="U199" i="15"/>
  <c r="Z199" i="15"/>
  <c r="X199" i="15"/>
  <c r="V194" i="15"/>
  <c r="E30" i="15" s="1"/>
  <c r="V192" i="15"/>
  <c r="E28" i="15" s="1"/>
  <c r="V193" i="15"/>
  <c r="E29" i="15" s="1"/>
  <c r="V191" i="15"/>
  <c r="E27" i="15" s="1"/>
  <c r="X200" i="15"/>
  <c r="U200" i="15"/>
  <c r="AA200" i="15"/>
  <c r="Z200" i="15"/>
  <c r="AB200" i="15"/>
  <c r="Y200" i="15"/>
  <c r="V180" i="15"/>
  <c r="E20" i="15" s="1"/>
  <c r="V181" i="15"/>
  <c r="E21" i="15" s="1"/>
  <c r="V179" i="15"/>
  <c r="E19" i="15" s="1"/>
  <c r="V182" i="15"/>
  <c r="E22" i="15" s="1"/>
  <c r="W204" i="15"/>
  <c r="N97" i="1" s="1"/>
  <c r="C51" i="15" s="1"/>
  <c r="E51" i="15" s="1"/>
  <c r="W206" i="15"/>
  <c r="W203" i="15"/>
  <c r="H109" i="1" s="1"/>
  <c r="C54" i="15" s="1"/>
  <c r="E54" i="15" s="1"/>
  <c r="W205" i="15"/>
  <c r="AA168" i="15"/>
  <c r="Z168" i="15"/>
  <c r="AB168" i="15"/>
  <c r="U168" i="15"/>
  <c r="X168" i="15"/>
  <c r="Y168" i="15"/>
  <c r="X170" i="15"/>
  <c r="AA170" i="15"/>
  <c r="Y170" i="15"/>
  <c r="U170" i="15"/>
  <c r="AB170" i="15"/>
  <c r="Z170" i="15"/>
  <c r="U167" i="15"/>
  <c r="AB167" i="15"/>
  <c r="X167" i="15"/>
  <c r="Z167" i="15"/>
  <c r="AA167" i="15"/>
  <c r="Y167" i="15"/>
  <c r="Y169" i="15"/>
  <c r="AA169" i="15"/>
  <c r="X169" i="15"/>
  <c r="AB169" i="15"/>
  <c r="Z169" i="15"/>
  <c r="U169" i="15"/>
  <c r="W188" i="15" l="1"/>
  <c r="W187" i="15"/>
  <c r="W185" i="15"/>
  <c r="H91" i="1" s="1"/>
  <c r="C48" i="15" s="1"/>
  <c r="E48" i="15" s="1"/>
  <c r="W176" i="15"/>
  <c r="W174" i="15"/>
  <c r="N85" i="1" s="1"/>
  <c r="C47" i="15" s="1"/>
  <c r="E47" i="15" s="1"/>
  <c r="W173" i="15"/>
  <c r="H73" i="1" s="1"/>
  <c r="C42" i="15" s="1"/>
  <c r="E42" i="15" s="1"/>
  <c r="W175" i="15"/>
  <c r="V164" i="15"/>
  <c r="E10" i="15" s="1"/>
  <c r="V162" i="15"/>
  <c r="E8" i="15" s="1"/>
  <c r="V163" i="15"/>
  <c r="E9" i="15" s="1"/>
  <c r="W197" i="15"/>
  <c r="H97" i="1" s="1"/>
  <c r="C50" i="15" s="1"/>
  <c r="E50" i="15" s="1"/>
  <c r="W200" i="15"/>
  <c r="W198" i="15"/>
  <c r="N109" i="1" s="1"/>
  <c r="C55" i="15" s="1"/>
  <c r="E55" i="15" s="1"/>
  <c r="AB192" i="15"/>
  <c r="X192" i="15"/>
  <c r="Y192" i="15"/>
  <c r="Z192" i="15"/>
  <c r="U192" i="15"/>
  <c r="AA192" i="15"/>
  <c r="Y194" i="15"/>
  <c r="X194" i="15"/>
  <c r="AB194" i="15"/>
  <c r="Z194" i="15"/>
  <c r="AA194" i="15"/>
  <c r="U194" i="15"/>
  <c r="X191" i="15"/>
  <c r="Z191" i="15"/>
  <c r="U191" i="15"/>
  <c r="Y191" i="15"/>
  <c r="AB191" i="15"/>
  <c r="AA191" i="15"/>
  <c r="W199" i="15"/>
  <c r="Y193" i="15"/>
  <c r="U193" i="15"/>
  <c r="AA193" i="15"/>
  <c r="Z193" i="15"/>
  <c r="AB193" i="15"/>
  <c r="X193" i="15"/>
  <c r="AA182" i="15"/>
  <c r="U182" i="15"/>
  <c r="AB182" i="15"/>
  <c r="X182" i="15"/>
  <c r="Y182" i="15"/>
  <c r="Z182" i="15"/>
  <c r="AA179" i="15"/>
  <c r="X179" i="15"/>
  <c r="AB179" i="15"/>
  <c r="Y179" i="15"/>
  <c r="Z179" i="15"/>
  <c r="U179" i="15"/>
  <c r="X161" i="15"/>
  <c r="Y161" i="15"/>
  <c r="AA161" i="15"/>
  <c r="AB161" i="15"/>
  <c r="U161" i="15"/>
  <c r="Z161" i="15"/>
  <c r="Z181" i="15"/>
  <c r="AB181" i="15"/>
  <c r="Y181" i="15"/>
  <c r="X181" i="15"/>
  <c r="U181" i="15"/>
  <c r="AA181" i="15"/>
  <c r="AA180" i="15"/>
  <c r="Y180" i="15"/>
  <c r="X180" i="15"/>
  <c r="U180" i="15"/>
  <c r="Z180" i="15"/>
  <c r="AB180" i="15"/>
  <c r="AE48" i="15"/>
  <c r="W169" i="15"/>
  <c r="W167" i="15"/>
  <c r="H79" i="1" s="1"/>
  <c r="C44" i="15" s="1"/>
  <c r="E44" i="15" s="1"/>
  <c r="W168" i="15"/>
  <c r="N67" i="1" s="1"/>
  <c r="C41" i="15" s="1"/>
  <c r="E41" i="15" s="1"/>
  <c r="W170" i="15"/>
  <c r="AA164" i="15" l="1"/>
  <c r="U164" i="15"/>
  <c r="AB164" i="15"/>
  <c r="Z164" i="15"/>
  <c r="Y164" i="15"/>
  <c r="AE30" i="15"/>
  <c r="X164" i="15"/>
  <c r="Y163" i="15"/>
  <c r="U162" i="15"/>
  <c r="AA162" i="15"/>
  <c r="AB163" i="15"/>
  <c r="X163" i="15"/>
  <c r="Z163" i="15"/>
  <c r="AE18" i="15"/>
  <c r="Y162" i="15"/>
  <c r="X162" i="15"/>
  <c r="AB162" i="15"/>
  <c r="Z162" i="15"/>
  <c r="AA163" i="15"/>
  <c r="U163" i="15"/>
  <c r="W180" i="15"/>
  <c r="N73" i="1" s="1"/>
  <c r="C43" i="15" s="1"/>
  <c r="E43" i="15" s="1"/>
  <c r="AE42" i="15"/>
  <c r="W194" i="15"/>
  <c r="W192" i="15"/>
  <c r="N91" i="1" s="1"/>
  <c r="C49" i="15" s="1"/>
  <c r="E49" i="15" s="1"/>
  <c r="W193" i="15"/>
  <c r="W191" i="15"/>
  <c r="W181" i="15"/>
  <c r="W161" i="15"/>
  <c r="W179" i="15"/>
  <c r="W182" i="15"/>
  <c r="AE12" i="15"/>
  <c r="W164" i="15" l="1"/>
  <c r="W163" i="15"/>
  <c r="W162" i="15"/>
  <c r="N79" i="1" s="1"/>
  <c r="C45" i="15" s="1"/>
  <c r="E45" i="15" s="1"/>
  <c r="H103" i="1"/>
  <c r="C52" i="15" s="1"/>
  <c r="E52" i="15" s="1"/>
  <c r="AE36" i="15"/>
  <c r="H85" i="1"/>
  <c r="C46" i="15" s="1"/>
  <c r="E46" i="15" s="1"/>
  <c r="AE24" i="15"/>
  <c r="H67" i="1"/>
  <c r="C40" i="15" s="1"/>
  <c r="E40" i="15" s="1"/>
  <c r="AE6" i="15" l="1"/>
</calcChain>
</file>

<file path=xl/sharedStrings.xml><?xml version="1.0" encoding="utf-8"?>
<sst xmlns="http://schemas.openxmlformats.org/spreadsheetml/2006/main" count="5610" uniqueCount="4321">
  <si>
    <t>Grèce</t>
  </si>
  <si>
    <t>Espagne</t>
  </si>
  <si>
    <t>Schweiz</t>
  </si>
  <si>
    <t>Deutschland</t>
  </si>
  <si>
    <t>Italien</t>
  </si>
  <si>
    <t>Frankreich</t>
  </si>
  <si>
    <t>Griechenland</t>
  </si>
  <si>
    <t>Spanien</t>
  </si>
  <si>
    <t>Suiza</t>
  </si>
  <si>
    <t>Alemania</t>
  </si>
  <si>
    <t>Holanda</t>
  </si>
  <si>
    <t>Francia</t>
  </si>
  <si>
    <t>Grecia</t>
  </si>
  <si>
    <t>España</t>
  </si>
  <si>
    <t>Spanish</t>
  </si>
  <si>
    <t>Svizzera</t>
  </si>
  <si>
    <t>Portogallo</t>
  </si>
  <si>
    <t>French</t>
  </si>
  <si>
    <t>Mongolian</t>
  </si>
  <si>
    <t>Ukrainian</t>
  </si>
  <si>
    <t>Spanish (Argentine)</t>
  </si>
  <si>
    <t>Portuguese (Brazil)</t>
  </si>
  <si>
    <t>Portuguese (Portugal)</t>
  </si>
  <si>
    <t>Chinese (Simplified)</t>
  </si>
  <si>
    <t>Chinese (Traditional)</t>
  </si>
  <si>
    <t>Georgian</t>
  </si>
  <si>
    <t>Germania</t>
  </si>
  <si>
    <t>Olanda</t>
  </si>
  <si>
    <t>Spagna</t>
  </si>
  <si>
    <t>Italian</t>
  </si>
  <si>
    <t>Alemanha</t>
  </si>
  <si>
    <t>Itália</t>
  </si>
  <si>
    <t>França</t>
  </si>
  <si>
    <t>Grécia</t>
  </si>
  <si>
    <t>Espanha</t>
  </si>
  <si>
    <t>Szwajcaria</t>
  </si>
  <si>
    <t>Portugalia</t>
  </si>
  <si>
    <t>Niemcy</t>
  </si>
  <si>
    <t>Holandia</t>
  </si>
  <si>
    <t>Francja</t>
  </si>
  <si>
    <t>Grecja</t>
  </si>
  <si>
    <t>Hiszpania</t>
  </si>
  <si>
    <t>Polish</t>
  </si>
  <si>
    <t>Lithuanian</t>
  </si>
  <si>
    <t>Šveicarija</t>
  </si>
  <si>
    <t>Portugalija</t>
  </si>
  <si>
    <t>Vokietija</t>
  </si>
  <si>
    <t>Italija</t>
  </si>
  <si>
    <t>Prancūzija</t>
  </si>
  <si>
    <t>Graikija</t>
  </si>
  <si>
    <t>Ispanija</t>
  </si>
  <si>
    <t>Suïssa</t>
  </si>
  <si>
    <t>Alemanya</t>
  </si>
  <si>
    <t>Itàlia</t>
  </si>
  <si>
    <t>Grècia</t>
  </si>
  <si>
    <t>Espanya</t>
  </si>
  <si>
    <t>Catalan</t>
  </si>
  <si>
    <t>Svájc</t>
  </si>
  <si>
    <t>Portugália</t>
  </si>
  <si>
    <t>Németország</t>
  </si>
  <si>
    <t>Olaszország</t>
  </si>
  <si>
    <t>Hollandia</t>
  </si>
  <si>
    <t>Franciaország</t>
  </si>
  <si>
    <t>Görögország</t>
  </si>
  <si>
    <t>Spanyolország</t>
  </si>
  <si>
    <t>Hungarian</t>
  </si>
  <si>
    <t>Spania</t>
  </si>
  <si>
    <t>Romanian</t>
  </si>
  <si>
    <t>Zwitserland</t>
  </si>
  <si>
    <t>Duitsland</t>
  </si>
  <si>
    <t>Italië</t>
  </si>
  <si>
    <t>Nederland</t>
  </si>
  <si>
    <t>Frankrijk</t>
  </si>
  <si>
    <t>Griekenland</t>
  </si>
  <si>
    <t>Spanje</t>
  </si>
  <si>
    <t>Dutch</t>
  </si>
  <si>
    <t>Tyskland</t>
  </si>
  <si>
    <t>Holland</t>
  </si>
  <si>
    <t>Frankrig</t>
  </si>
  <si>
    <t>Grækenland</t>
  </si>
  <si>
    <t>Danish</t>
  </si>
  <si>
    <t>Ġermanja</t>
  </si>
  <si>
    <t>Italja</t>
  </si>
  <si>
    <t>Franza</t>
  </si>
  <si>
    <t>Greċja</t>
  </si>
  <si>
    <t>Spanja</t>
  </si>
  <si>
    <t>Maltese</t>
  </si>
  <si>
    <t>Švica</t>
  </si>
  <si>
    <t>Portugalska</t>
  </si>
  <si>
    <t>Nemčija</t>
  </si>
  <si>
    <t>Nizozemska</t>
  </si>
  <si>
    <t>Grčija</t>
  </si>
  <si>
    <t>Španija</t>
  </si>
  <si>
    <t>Slovenian</t>
  </si>
  <si>
    <t>Sveitsi</t>
  </si>
  <si>
    <t>Portugali</t>
  </si>
  <si>
    <t>Saksa</t>
  </si>
  <si>
    <t>Ranska</t>
  </si>
  <si>
    <t>Kreikka</t>
  </si>
  <si>
    <t>Espanja</t>
  </si>
  <si>
    <t>Finnish</t>
  </si>
  <si>
    <t>Швајцарска</t>
  </si>
  <si>
    <t>Португалија</t>
  </si>
  <si>
    <t>Немачка</t>
  </si>
  <si>
    <t>Италија</t>
  </si>
  <si>
    <t>Холандија</t>
  </si>
  <si>
    <t>Француска</t>
  </si>
  <si>
    <t>Грчка</t>
  </si>
  <si>
    <t>Шпанија</t>
  </si>
  <si>
    <t>Serbian</t>
  </si>
  <si>
    <t>Albanian</t>
  </si>
  <si>
    <t>Швейцария</t>
  </si>
  <si>
    <t>Португалия</t>
  </si>
  <si>
    <t>Германия</t>
  </si>
  <si>
    <t>Италия</t>
  </si>
  <si>
    <t>Холандия</t>
  </si>
  <si>
    <t>Франция</t>
  </si>
  <si>
    <t>Гърция</t>
  </si>
  <si>
    <t>Испания</t>
  </si>
  <si>
    <t>Bulgarian</t>
  </si>
  <si>
    <t>Ελβετία</t>
  </si>
  <si>
    <t>Γερμανία</t>
  </si>
  <si>
    <t>Ιταλία</t>
  </si>
  <si>
    <t>Ολλανδία</t>
  </si>
  <si>
    <t>Γαλλία</t>
  </si>
  <si>
    <t>Ισπανία</t>
  </si>
  <si>
    <t>Greek</t>
  </si>
  <si>
    <t>Греция</t>
  </si>
  <si>
    <t>Russian</t>
  </si>
  <si>
    <t>İsviçre</t>
  </si>
  <si>
    <t>Portekiz</t>
  </si>
  <si>
    <t>Almanya</t>
  </si>
  <si>
    <t>İtalya</t>
  </si>
  <si>
    <t>Gruppespil</t>
  </si>
  <si>
    <t>Kampe</t>
  </si>
  <si>
    <t>Stillinger</t>
  </si>
  <si>
    <t>Tidspunkt</t>
  </si>
  <si>
    <t>1/8-delsfinaler</t>
  </si>
  <si>
    <t>Kamp om 3. plads</t>
  </si>
  <si>
    <t>2. plads</t>
  </si>
  <si>
    <t>Normal Tid</t>
  </si>
  <si>
    <t>Forlænget Spilletid</t>
  </si>
  <si>
    <t>Straffespark</t>
  </si>
  <si>
    <t>Gruppe A Vinder</t>
  </si>
  <si>
    <t>Gruppe H Vinder</t>
  </si>
  <si>
    <t>Gruppe A 2. plads</t>
  </si>
  <si>
    <t>Gruppe B 2. plads</t>
  </si>
  <si>
    <t>Gruppe C 2. plads</t>
  </si>
  <si>
    <t>Gruppe D 2. plads</t>
  </si>
  <si>
    <t>Gruppe E 2. plads</t>
  </si>
  <si>
    <t>Gruppe F 2. plads</t>
  </si>
  <si>
    <t>Gruppe G 2. plads</t>
  </si>
  <si>
    <t>Gruppe H 2. plads</t>
  </si>
  <si>
    <t>Kamp 53 Vinder</t>
  </si>
  <si>
    <t>Kamp 54 Vinder</t>
  </si>
  <si>
    <t>Kamp 55 Vinder</t>
  </si>
  <si>
    <t>Kamp 56 Vinder</t>
  </si>
  <si>
    <t>Kamp 57 Vinder</t>
  </si>
  <si>
    <t>Kamp 58 Vinder</t>
  </si>
  <si>
    <t>Kamp 59 Vinder</t>
  </si>
  <si>
    <t>Kamp 60 Vinder</t>
  </si>
  <si>
    <t>Kamp 61 Vinder</t>
  </si>
  <si>
    <t>Kamp 62 Vinder</t>
  </si>
  <si>
    <t>Kamp 63 Vinder</t>
  </si>
  <si>
    <t>Kamp 64 Vinder</t>
  </si>
  <si>
    <t>Vundet</t>
  </si>
  <si>
    <t>Uafgjort</t>
  </si>
  <si>
    <t>Tabt</t>
  </si>
  <si>
    <t>Kamp 49 Vinder</t>
  </si>
  <si>
    <t>Kamp 50 Vinder</t>
  </si>
  <si>
    <t>Kamp 41 Vinder</t>
  </si>
  <si>
    <t>Kamp 52 Vinder</t>
  </si>
  <si>
    <t>Kamp 61 Taber</t>
  </si>
  <si>
    <t>Kamp 62 Taber</t>
  </si>
  <si>
    <t>Uitslag</t>
  </si>
  <si>
    <t>Laatste 16</t>
  </si>
  <si>
    <t>Kwartfinales</t>
  </si>
  <si>
    <t>Halve finales</t>
  </si>
  <si>
    <t>Yhdysvallat</t>
  </si>
  <si>
    <t>Hollanda</t>
  </si>
  <si>
    <t>Fransa</t>
  </si>
  <si>
    <t>Yunanistan</t>
  </si>
  <si>
    <t>İspanya</t>
  </si>
  <si>
    <t>Turkish</t>
  </si>
  <si>
    <t>Švicarska</t>
  </si>
  <si>
    <t>Njemačka</t>
  </si>
  <si>
    <t>Francuska</t>
  </si>
  <si>
    <t>Grčka</t>
  </si>
  <si>
    <t>Španjolska</t>
  </si>
  <si>
    <t>Croatian</t>
  </si>
  <si>
    <t>Bồ Đào Nha</t>
  </si>
  <si>
    <t>Đức</t>
  </si>
  <si>
    <t>Hà Lan</t>
  </si>
  <si>
    <t>Pháp</t>
  </si>
  <si>
    <t>Hy Lạp</t>
  </si>
  <si>
    <t>Tây Ban Nha</t>
  </si>
  <si>
    <t>Vietnamese</t>
  </si>
  <si>
    <t>Itali</t>
  </si>
  <si>
    <t>Bahasa</t>
  </si>
  <si>
    <t>Sepanyol</t>
  </si>
  <si>
    <t>Malay</t>
  </si>
  <si>
    <t>سويسرا</t>
  </si>
  <si>
    <t>البرتغال</t>
  </si>
  <si>
    <t>ألمانيا</t>
  </si>
  <si>
    <t>هولندا</t>
  </si>
  <si>
    <t>فرنسا</t>
  </si>
  <si>
    <t>اليونان</t>
  </si>
  <si>
    <t>Arabic</t>
  </si>
  <si>
    <t>瑞士</t>
  </si>
  <si>
    <t>葡萄牙</t>
  </si>
  <si>
    <t>意大利</t>
  </si>
  <si>
    <t>西班牙</t>
  </si>
  <si>
    <t>Normal Time</t>
  </si>
  <si>
    <t>Extra Time</t>
  </si>
  <si>
    <t>Penalty Shoot Out</t>
  </si>
  <si>
    <t>P</t>
  </si>
  <si>
    <t>Pt</t>
  </si>
  <si>
    <t>Addis Ababa</t>
  </si>
  <si>
    <t>Adelaide</t>
  </si>
  <si>
    <t>Aden</t>
  </si>
  <si>
    <t>Algiers</t>
  </si>
  <si>
    <t>Almaty</t>
  </si>
  <si>
    <t xml:space="preserve">Amman </t>
  </si>
  <si>
    <t xml:space="preserve">Amsterdam </t>
  </si>
  <si>
    <t xml:space="preserve">Anadyr </t>
  </si>
  <si>
    <t xml:space="preserve">Anchorage </t>
  </si>
  <si>
    <t xml:space="preserve">Ankara </t>
  </si>
  <si>
    <t>Antananarivo</t>
  </si>
  <si>
    <t>Asuncion</t>
  </si>
  <si>
    <t xml:space="preserve">Athens </t>
  </si>
  <si>
    <t xml:space="preserve">Atlanta </t>
  </si>
  <si>
    <t>Auckland</t>
  </si>
  <si>
    <t>Baghdad</t>
  </si>
  <si>
    <t>Bangkok</t>
  </si>
  <si>
    <t xml:space="preserve">Barcelona </t>
  </si>
  <si>
    <t>Beijing</t>
  </si>
  <si>
    <t xml:space="preserve">Beirut </t>
  </si>
  <si>
    <t xml:space="preserve">Belgrade </t>
  </si>
  <si>
    <t xml:space="preserve">Berlin </t>
  </si>
  <si>
    <t>Bogota</t>
  </si>
  <si>
    <t xml:space="preserve">Boston </t>
  </si>
  <si>
    <t>Brasilia</t>
  </si>
  <si>
    <t>Brisbane</t>
  </si>
  <si>
    <t xml:space="preserve">Brussels </t>
  </si>
  <si>
    <t xml:space="preserve">Bucharest </t>
  </si>
  <si>
    <t xml:space="preserve">Budapest </t>
  </si>
  <si>
    <t>Buenos Aires</t>
  </si>
  <si>
    <t>Cairo</t>
  </si>
  <si>
    <t>Canberra</t>
  </si>
  <si>
    <t>Cape Town</t>
  </si>
  <si>
    <t>Caracas</t>
  </si>
  <si>
    <t>Casablanca</t>
  </si>
  <si>
    <t xml:space="preserve">Chicago </t>
  </si>
  <si>
    <t xml:space="preserve">Copenhagen </t>
  </si>
  <si>
    <t>Darwin</t>
  </si>
  <si>
    <t xml:space="preserve">Denver </t>
  </si>
  <si>
    <t xml:space="preserve">Detroit </t>
  </si>
  <si>
    <t>Dhaka</t>
  </si>
  <si>
    <t>Dubai</t>
  </si>
  <si>
    <t xml:space="preserve">Dublin </t>
  </si>
  <si>
    <t xml:space="preserve">Edmonton </t>
  </si>
  <si>
    <t xml:space="preserve">Frankfurt </t>
  </si>
  <si>
    <t xml:space="preserve">Geneva </t>
  </si>
  <si>
    <t>Guatemala</t>
  </si>
  <si>
    <t xml:space="preserve">Halifax </t>
  </si>
  <si>
    <t>Hanoi</t>
  </si>
  <si>
    <t>Harare</t>
  </si>
  <si>
    <t xml:space="preserve">Havana </t>
  </si>
  <si>
    <t xml:space="preserve">Helsinki </t>
  </si>
  <si>
    <t>Hong Kong</t>
  </si>
  <si>
    <t>Honolulu</t>
  </si>
  <si>
    <t xml:space="preserve">Houston </t>
  </si>
  <si>
    <t xml:space="preserve">Indianapolis </t>
  </si>
  <si>
    <t>Islamabad</t>
  </si>
  <si>
    <t xml:space="preserve">Istanbul </t>
  </si>
  <si>
    <t>Jakarta</t>
  </si>
  <si>
    <t xml:space="preserve">Jerusalem </t>
  </si>
  <si>
    <t>Johannesburg</t>
  </si>
  <si>
    <t>Kabul</t>
  </si>
  <si>
    <t xml:space="preserve">Kamchatka </t>
  </si>
  <si>
    <t>Karachi</t>
  </si>
  <si>
    <t>Khartoum</t>
  </si>
  <si>
    <t>Kingston</t>
  </si>
  <si>
    <t>Kiritimati</t>
  </si>
  <si>
    <t>Kolkata</t>
  </si>
  <si>
    <t>Kuala Lumpur</t>
  </si>
  <si>
    <t>Kuwait City</t>
  </si>
  <si>
    <t xml:space="preserve">Kyiv </t>
  </si>
  <si>
    <t>La Paz</t>
  </si>
  <si>
    <t>Lagos</t>
  </si>
  <si>
    <t>Lahore</t>
  </si>
  <si>
    <t>Lima</t>
  </si>
  <si>
    <t xml:space="preserve">Lisbon </t>
  </si>
  <si>
    <t xml:space="preserve">London </t>
  </si>
  <si>
    <t xml:space="preserve">Los Angeles </t>
  </si>
  <si>
    <t xml:space="preserve">Madrid </t>
  </si>
  <si>
    <t>Managua</t>
  </si>
  <si>
    <t>Manila</t>
  </si>
  <si>
    <t>Melbourne</t>
  </si>
  <si>
    <t xml:space="preserve">Mexico City </t>
  </si>
  <si>
    <t xml:space="preserve">Miami </t>
  </si>
  <si>
    <t xml:space="preserve">Minneapolis </t>
  </si>
  <si>
    <t xml:space="preserve">Minsk </t>
  </si>
  <si>
    <t>Montevideo</t>
  </si>
  <si>
    <t xml:space="preserve">Montgomery </t>
  </si>
  <si>
    <t xml:space="preserve">Montreal </t>
  </si>
  <si>
    <t xml:space="preserve">Moscow </t>
  </si>
  <si>
    <t>Mumbai</t>
  </si>
  <si>
    <t>Nairobi</t>
  </si>
  <si>
    <t xml:space="preserve">Nassau </t>
  </si>
  <si>
    <t>New Delhi</t>
  </si>
  <si>
    <t xml:space="preserve">New Orleans </t>
  </si>
  <si>
    <t xml:space="preserve">New York </t>
  </si>
  <si>
    <t xml:space="preserve">Oslo </t>
  </si>
  <si>
    <t xml:space="preserve">Ottawa </t>
  </si>
  <si>
    <t xml:space="preserve">Paris </t>
  </si>
  <si>
    <t>Perth</t>
  </si>
  <si>
    <t xml:space="preserve">Philadelphia </t>
  </si>
  <si>
    <t>Phoenix</t>
  </si>
  <si>
    <t xml:space="preserve">Prague </t>
  </si>
  <si>
    <t>Reykjavik</t>
  </si>
  <si>
    <t>Rio de Janeiro</t>
  </si>
  <si>
    <t>Riyadh</t>
  </si>
  <si>
    <t xml:space="preserve">Rome </t>
  </si>
  <si>
    <t xml:space="preserve">San Francisco </t>
  </si>
  <si>
    <t>San Juan</t>
  </si>
  <si>
    <t>San Salvador</t>
  </si>
  <si>
    <t>Santiago</t>
  </si>
  <si>
    <t>Santo Domingo</t>
  </si>
  <si>
    <t>Sao Paulo</t>
  </si>
  <si>
    <t xml:space="preserve">Seattle </t>
  </si>
  <si>
    <t>Seoul</t>
  </si>
  <si>
    <t>Shanghai</t>
  </si>
  <si>
    <t>Singapore</t>
  </si>
  <si>
    <t xml:space="preserve">Sofia </t>
  </si>
  <si>
    <t xml:space="preserve">St. John's </t>
  </si>
  <si>
    <t xml:space="preserve">St. Paul </t>
  </si>
  <si>
    <t xml:space="preserve">Stockholm </t>
  </si>
  <si>
    <t>Suva</t>
  </si>
  <si>
    <t>Sydney</t>
  </si>
  <si>
    <t>Taipei</t>
  </si>
  <si>
    <t xml:space="preserve">Tallinn </t>
  </si>
  <si>
    <t>Tashkent</t>
  </si>
  <si>
    <t>Tegucigalpa</t>
  </si>
  <si>
    <t xml:space="preserve">Tehran </t>
  </si>
  <si>
    <t>Tokyo</t>
  </si>
  <si>
    <t xml:space="preserve">Toronto </t>
  </si>
  <si>
    <t xml:space="preserve">Vancouver </t>
  </si>
  <si>
    <t xml:space="preserve">Vienna </t>
  </si>
  <si>
    <t xml:space="preserve">Vladivostok </t>
  </si>
  <si>
    <t xml:space="preserve">Warsaw </t>
  </si>
  <si>
    <t xml:space="preserve">Washington DC </t>
  </si>
  <si>
    <t xml:space="preserve">Winnipeg </t>
  </si>
  <si>
    <t>Yangon</t>
  </si>
  <si>
    <t xml:space="preserve">Zagreb </t>
  </si>
  <si>
    <t xml:space="preserve">Zürich </t>
  </si>
  <si>
    <t>r musadya</t>
  </si>
  <si>
    <t>Mexico</t>
  </si>
  <si>
    <t>Uruguay</t>
  </si>
  <si>
    <t>Argentina</t>
  </si>
  <si>
    <t>Nigeria</t>
  </si>
  <si>
    <t>South Korea</t>
  </si>
  <si>
    <t>England</t>
  </si>
  <si>
    <t>USA</t>
  </si>
  <si>
    <t>Algeria</t>
  </si>
  <si>
    <t>Australia</t>
  </si>
  <si>
    <t>Ghana</t>
  </si>
  <si>
    <t>Japan</t>
  </si>
  <si>
    <t>Cameroon</t>
  </si>
  <si>
    <t>Brazil</t>
  </si>
  <si>
    <t>Honduras</t>
  </si>
  <si>
    <t>Chile</t>
  </si>
  <si>
    <t>Meksiko</t>
  </si>
  <si>
    <t>Korea Selatan</t>
  </si>
  <si>
    <t>Inggris</t>
  </si>
  <si>
    <t>Amerika Serikat</t>
  </si>
  <si>
    <t>Aljazair</t>
  </si>
  <si>
    <t>Jepang</t>
  </si>
  <si>
    <t>Kamerun</t>
  </si>
  <si>
    <t>Brasil</t>
  </si>
  <si>
    <t>Pantai Gading</t>
  </si>
  <si>
    <t>Group</t>
  </si>
  <si>
    <t>B</t>
  </si>
  <si>
    <t>C</t>
  </si>
  <si>
    <t>E</t>
  </si>
  <si>
    <t>G</t>
  </si>
  <si>
    <t>H</t>
  </si>
  <si>
    <t>Group E</t>
  </si>
  <si>
    <t>Group F</t>
  </si>
  <si>
    <t>Group G</t>
  </si>
  <si>
    <t>Group H</t>
  </si>
  <si>
    <t>Language</t>
  </si>
  <si>
    <t>Timezone</t>
  </si>
  <si>
    <t>Group Stages</t>
  </si>
  <si>
    <t>Matches</t>
  </si>
  <si>
    <t>Standings</t>
  </si>
  <si>
    <t>Score</t>
  </si>
  <si>
    <t>Round of 16</t>
  </si>
  <si>
    <t>Quarter Finals</t>
  </si>
  <si>
    <t>Semi Finals</t>
  </si>
  <si>
    <t>Match for Third Place</t>
  </si>
  <si>
    <t>Final</t>
  </si>
  <si>
    <t>Winner</t>
  </si>
  <si>
    <t>Runner Up</t>
  </si>
  <si>
    <t>Champion</t>
  </si>
  <si>
    <t>Zona waktu</t>
  </si>
  <si>
    <t>Pertandingan</t>
  </si>
  <si>
    <t>Klasemen</t>
  </si>
  <si>
    <t>Grup</t>
  </si>
  <si>
    <t>Tanggal</t>
  </si>
  <si>
    <t>Negara</t>
  </si>
  <si>
    <t>Skor</t>
  </si>
  <si>
    <t>Waktu</t>
  </si>
  <si>
    <t>Pemenang</t>
  </si>
  <si>
    <t>Waktu normal</t>
  </si>
  <si>
    <t>Waktu tambahan</t>
  </si>
  <si>
    <t>Adu penalti</t>
  </si>
  <si>
    <t>Juara</t>
  </si>
  <si>
    <t>Afrikaans</t>
  </si>
  <si>
    <t>Frankryk</t>
  </si>
  <si>
    <t>Argentinië</t>
  </si>
  <si>
    <t>Nigerië</t>
  </si>
  <si>
    <t>Suid-Korea</t>
  </si>
  <si>
    <t>Griekeland</t>
  </si>
  <si>
    <t>Engeland</t>
  </si>
  <si>
    <t>VSA</t>
  </si>
  <si>
    <t>Algerië</t>
  </si>
  <si>
    <t>Australië</t>
  </si>
  <si>
    <t>Kameroen</t>
  </si>
  <si>
    <t>Brasilië</t>
  </si>
  <si>
    <t>Ivoorkus</t>
  </si>
  <si>
    <t>Switserland</t>
  </si>
  <si>
    <t>Chili</t>
  </si>
  <si>
    <t>Taal</t>
  </si>
  <si>
    <t>Tydsone</t>
  </si>
  <si>
    <t>Groep Stadiums</t>
  </si>
  <si>
    <t>Wedstryde</t>
  </si>
  <si>
    <t>Groep</t>
  </si>
  <si>
    <t>Datum</t>
  </si>
  <si>
    <t>Land</t>
  </si>
  <si>
    <t>Punte</t>
  </si>
  <si>
    <t>Tyd</t>
  </si>
  <si>
    <t>Ronde van 16</t>
  </si>
  <si>
    <t>Kwart Finaal</t>
  </si>
  <si>
    <t>Wedstryd vir die Derde Plek</t>
  </si>
  <si>
    <t>Finale</t>
  </si>
  <si>
    <t>Wenner</t>
  </si>
  <si>
    <t>Normale Tyd</t>
  </si>
  <si>
    <t>Boete Shoot Out</t>
  </si>
  <si>
    <t>Kampioen</t>
  </si>
  <si>
    <t>Uruguaj</t>
  </si>
  <si>
    <t>Australi</t>
  </si>
  <si>
    <t>Brazili</t>
  </si>
  <si>
    <t>Kili</t>
  </si>
  <si>
    <t>Gjuha</t>
  </si>
  <si>
    <t>Data</t>
  </si>
  <si>
    <t>Vendi</t>
  </si>
  <si>
    <t>Koha</t>
  </si>
  <si>
    <t>Round 16</t>
  </si>
  <si>
    <t>Kampion</t>
  </si>
  <si>
    <t>المكسيك</t>
  </si>
  <si>
    <t>الأرجنتين</t>
  </si>
  <si>
    <t>نيجيريا</t>
  </si>
  <si>
    <t>كوريا الجنوبية</t>
  </si>
  <si>
    <t>الجزائر</t>
  </si>
  <si>
    <t>غانا</t>
  </si>
  <si>
    <t>اليابان</t>
  </si>
  <si>
    <t>الكاميرون</t>
  </si>
  <si>
    <t>البرازيل</t>
  </si>
  <si>
    <t>ساحل العاج</t>
  </si>
  <si>
    <t>هندوراس</t>
  </si>
  <si>
    <t>المجموعة</t>
  </si>
  <si>
    <t>النتيجة</t>
  </si>
  <si>
    <t>النهائي</t>
  </si>
  <si>
    <t>ركلات الترجيح</t>
  </si>
  <si>
    <t>墨西哥</t>
  </si>
  <si>
    <t>阿根廷</t>
  </si>
  <si>
    <t>日本</t>
  </si>
  <si>
    <t>巴西</t>
  </si>
  <si>
    <t>洪都拉斯</t>
  </si>
  <si>
    <t>智利</t>
  </si>
  <si>
    <t>日期</t>
  </si>
  <si>
    <t>亚军</t>
  </si>
  <si>
    <t>Мексико</t>
  </si>
  <si>
    <t>Уругвай</t>
  </si>
  <si>
    <t>Аржентина</t>
  </si>
  <si>
    <t>Нигерия</t>
  </si>
  <si>
    <t>Южна Корея</t>
  </si>
  <si>
    <t>Англия</t>
  </si>
  <si>
    <t>САЩ</t>
  </si>
  <si>
    <t>Алжир</t>
  </si>
  <si>
    <t>Австралия</t>
  </si>
  <si>
    <t>Гана</t>
  </si>
  <si>
    <t>Япония</t>
  </si>
  <si>
    <t>Камерун</t>
  </si>
  <si>
    <t>Бразилия</t>
  </si>
  <si>
    <t>Бряг на Слоновата кост</t>
  </si>
  <si>
    <t>Хондурас</t>
  </si>
  <si>
    <t>Чили</t>
  </si>
  <si>
    <t>Език</t>
  </si>
  <si>
    <t>Часовата зона</t>
  </si>
  <si>
    <t>Група Етапи</t>
  </si>
  <si>
    <t>Мачове</t>
  </si>
  <si>
    <t>Класиране</t>
  </si>
  <si>
    <t>Група</t>
  </si>
  <si>
    <t>Дата</t>
  </si>
  <si>
    <t>Страна</t>
  </si>
  <si>
    <t>Резултат</t>
  </si>
  <si>
    <t>Време</t>
  </si>
  <si>
    <t>Кръг от 16</t>
  </si>
  <si>
    <t>Квартал Финали</t>
  </si>
  <si>
    <t>Полуфинали</t>
  </si>
  <si>
    <t>Мачът за третото място</t>
  </si>
  <si>
    <t>Окончателна</t>
  </si>
  <si>
    <t>Победител</t>
  </si>
  <si>
    <t>Второ място</t>
  </si>
  <si>
    <t>Нормалното време</t>
  </si>
  <si>
    <t>Продължения</t>
  </si>
  <si>
    <t>Няма дузпи</t>
  </si>
  <si>
    <t>Шампион</t>
  </si>
  <si>
    <t>Mèxic</t>
  </si>
  <si>
    <t>Uruguai</t>
  </si>
  <si>
    <t>Nigèria</t>
  </si>
  <si>
    <t>Corea del Sud</t>
  </si>
  <si>
    <t>Anglaterra</t>
  </si>
  <si>
    <t>EUA</t>
  </si>
  <si>
    <t>Algèria</t>
  </si>
  <si>
    <t>Països Baixos</t>
  </si>
  <si>
    <t>Japó</t>
  </si>
  <si>
    <t>Camerun</t>
  </si>
  <si>
    <t>Costa d'Ivori</t>
  </si>
  <si>
    <t>Hondures</t>
  </si>
  <si>
    <t>Xile</t>
  </si>
  <si>
    <t>Idioma</t>
  </si>
  <si>
    <t>Zona horària</t>
  </si>
  <si>
    <t>Fase de grups</t>
  </si>
  <si>
    <t>Partits</t>
  </si>
  <si>
    <t>Classificació</t>
  </si>
  <si>
    <t>País</t>
  </si>
  <si>
    <t>Puntuació</t>
  </si>
  <si>
    <t>Temps</t>
  </si>
  <si>
    <t>Ronda de 16</t>
  </si>
  <si>
    <t>Quarts de final</t>
  </si>
  <si>
    <t>Semifinals</t>
  </si>
  <si>
    <t>Partit pel Tercer Lloc</t>
  </si>
  <si>
    <t>Guanyador</t>
  </si>
  <si>
    <t>Subcampió</t>
  </si>
  <si>
    <t>烏拉圭</t>
  </si>
  <si>
    <t>法國</t>
  </si>
  <si>
    <t>尼日利亞</t>
  </si>
  <si>
    <t>韓國</t>
  </si>
  <si>
    <t>希臘</t>
  </si>
  <si>
    <t>英格蘭</t>
  </si>
  <si>
    <t>美國</t>
  </si>
  <si>
    <t>阿爾及利亞</t>
  </si>
  <si>
    <t>德國</t>
  </si>
  <si>
    <t>加納</t>
  </si>
  <si>
    <t>荷蘭</t>
  </si>
  <si>
    <t>喀麥隆</t>
  </si>
  <si>
    <t>語言</t>
  </si>
  <si>
    <t>時區</t>
  </si>
  <si>
    <t>國家</t>
  </si>
  <si>
    <t>決賽</t>
  </si>
  <si>
    <t>勝利者</t>
  </si>
  <si>
    <t>亞軍</t>
  </si>
  <si>
    <t>冠軍</t>
  </si>
  <si>
    <t>訪問 exceltemplate.net更多的模板和更新</t>
  </si>
  <si>
    <t>A組</t>
  </si>
  <si>
    <t>B組</t>
  </si>
  <si>
    <t>C組</t>
  </si>
  <si>
    <t>D組</t>
  </si>
  <si>
    <t>E組</t>
  </si>
  <si>
    <t>F組</t>
  </si>
  <si>
    <t>G組</t>
  </si>
  <si>
    <t>H組</t>
  </si>
  <si>
    <t>R. Musadya</t>
  </si>
  <si>
    <t>Temps Extra</t>
  </si>
  <si>
    <t>Campió</t>
  </si>
  <si>
    <t>Urugvaj</t>
  </si>
  <si>
    <t>Nigerija</t>
  </si>
  <si>
    <t>Južna Koreja</t>
  </si>
  <si>
    <t>Engleska</t>
  </si>
  <si>
    <t>Alžir</t>
  </si>
  <si>
    <t>Australija</t>
  </si>
  <si>
    <t>Gana</t>
  </si>
  <si>
    <t>Obala Bjelokosti</t>
  </si>
  <si>
    <t>Čile</t>
  </si>
  <si>
    <t>Jezik</t>
  </si>
  <si>
    <t>Vremenska zona</t>
  </si>
  <si>
    <t>Grupa Stages</t>
  </si>
  <si>
    <t>Utakmice</t>
  </si>
  <si>
    <t>Grupa</t>
  </si>
  <si>
    <t>Država</t>
  </si>
  <si>
    <t>Rezultati</t>
  </si>
  <si>
    <t>Vrijeme</t>
  </si>
  <si>
    <t>Utakmica za treće mjesto</t>
  </si>
  <si>
    <t>Normal Vrijeme</t>
  </si>
  <si>
    <t>Sydkorea</t>
  </si>
  <si>
    <t>Algeriet</t>
  </si>
  <si>
    <t>Winst</t>
  </si>
  <si>
    <t>Gelijk</t>
  </si>
  <si>
    <t>Verlies</t>
  </si>
  <si>
    <t>Doelpunten gemaakt</t>
  </si>
  <si>
    <t>Tegendoelpunten</t>
  </si>
  <si>
    <t>Jaringan</t>
  </si>
  <si>
    <t>Bolos</t>
  </si>
  <si>
    <t>Mata</t>
  </si>
  <si>
    <t>Vunna</t>
  </si>
  <si>
    <t>Spelade</t>
  </si>
  <si>
    <t>Oavgjorda</t>
  </si>
  <si>
    <t>Förlorade</t>
  </si>
  <si>
    <t>Gjorda mål</t>
  </si>
  <si>
    <t>Insläppta mål</t>
  </si>
  <si>
    <t>Poäng</t>
  </si>
  <si>
    <t>Australien</t>
  </si>
  <si>
    <t>Cameroun</t>
  </si>
  <si>
    <t>Brasilien</t>
  </si>
  <si>
    <t>Elfenbenskysten</t>
  </si>
  <si>
    <t>Sprog</t>
  </si>
  <si>
    <t>Tidszone</t>
  </si>
  <si>
    <t>Dato</t>
  </si>
  <si>
    <t>Tid</t>
  </si>
  <si>
    <t>Kvartfinaler</t>
  </si>
  <si>
    <t>Semifinale</t>
  </si>
  <si>
    <t>Vinder</t>
  </si>
  <si>
    <t>Algerije</t>
  </si>
  <si>
    <t>Brazilië</t>
  </si>
  <si>
    <t>Ivoorkust</t>
  </si>
  <si>
    <t>Tijd</t>
  </si>
  <si>
    <t>Winnaar</t>
  </si>
  <si>
    <t>Argentiina</t>
  </si>
  <si>
    <t>Etelä-Korea</t>
  </si>
  <si>
    <t>Englanti</t>
  </si>
  <si>
    <t>Alankomaat</t>
  </si>
  <si>
    <t>Japani</t>
  </si>
  <si>
    <t>Norsunluurannikko</t>
  </si>
  <si>
    <t>Kieli</t>
  </si>
  <si>
    <t>Pisteet</t>
  </si>
  <si>
    <t>Оноо</t>
  </si>
  <si>
    <t>Цаг</t>
  </si>
  <si>
    <t>Шөвгийн 16</t>
  </si>
  <si>
    <t>Шөвгийн 8</t>
  </si>
  <si>
    <t>Хагас шигшээ</t>
  </si>
  <si>
    <t>Хүрэл медалийн төлөөх тоглолт</t>
  </si>
  <si>
    <t>Шигшээ</t>
  </si>
  <si>
    <t>Ялагч</t>
  </si>
  <si>
    <t>Удаалагч</t>
  </si>
  <si>
    <t>Үндсэн цаг</t>
  </si>
  <si>
    <t>Нэмэлт цаг</t>
  </si>
  <si>
    <t>Торгуулийн цохилт</t>
  </si>
  <si>
    <t>Аварга</t>
  </si>
  <si>
    <t>Тоглолт #</t>
  </si>
  <si>
    <t>A хэсгийг тэргүүлэгч</t>
  </si>
  <si>
    <t>B хэсгийг тэргүүлэгч</t>
  </si>
  <si>
    <t>C хэсгийг тэргүүлэгч</t>
  </si>
  <si>
    <t>D хэсгийг тэргүүлэгч</t>
  </si>
  <si>
    <t>E хэсгийг тэргүүлэгч</t>
  </si>
  <si>
    <t>F хэсгийг тэргүүлэгч</t>
  </si>
  <si>
    <t>G хэсгийг тэргүүлэгч</t>
  </si>
  <si>
    <t>H хэсгийг тэргүүлэгч</t>
  </si>
  <si>
    <t>A хэсгийг удаалагч</t>
  </si>
  <si>
    <t>B хэсгийг удаалагч</t>
  </si>
  <si>
    <t>C хэсгийг удаалагч</t>
  </si>
  <si>
    <t>D хэсгийг удаалагч</t>
  </si>
  <si>
    <t>E хэсгийг удаалагч</t>
  </si>
  <si>
    <t>F хэсгийг удаалагч</t>
  </si>
  <si>
    <t>G хэсгийг удаалагч</t>
  </si>
  <si>
    <t>H хэсгийг удаалагч</t>
  </si>
  <si>
    <t>53 дахь тоглолтын ялагч</t>
  </si>
  <si>
    <t>54 дэх тоглолтын ялагч</t>
  </si>
  <si>
    <t>55 дахь тоглолтын ялагч</t>
  </si>
  <si>
    <t>56 дахь тоглолтын ялагч</t>
  </si>
  <si>
    <t>57 дахь тоглолтын ялагч</t>
  </si>
  <si>
    <t>58 дахь тоглолтын ялагч</t>
  </si>
  <si>
    <t>59 дэх тоглолтын ялагч</t>
  </si>
  <si>
    <t>60 дахь тоглолтын ялагч</t>
  </si>
  <si>
    <t>61 дэх тоглолтын ялагч</t>
  </si>
  <si>
    <t>62 дахь тоглолтын ялагч</t>
  </si>
  <si>
    <t>63 дахь тоглолтын ялагч</t>
  </si>
  <si>
    <t>64 дэх тоглолтын ялагч</t>
  </si>
  <si>
    <t>Тоглосон</t>
  </si>
  <si>
    <t>Хожил</t>
  </si>
  <si>
    <t>Тэнцээ</t>
  </si>
  <si>
    <t>Хожигдол</t>
  </si>
  <si>
    <t>Гоол оруулсан</t>
  </si>
  <si>
    <t>Гоол алдсан</t>
  </si>
  <si>
    <t>2 р байр</t>
  </si>
  <si>
    <t>A хэсэг</t>
  </si>
  <si>
    <t>B хэсэг</t>
  </si>
  <si>
    <t>C хэсэг</t>
  </si>
  <si>
    <t>D хэсэг</t>
  </si>
  <si>
    <t>E хэсэг</t>
  </si>
  <si>
    <t>F хэсэг</t>
  </si>
  <si>
    <t>G хэсэг</t>
  </si>
  <si>
    <t>H хэсэг</t>
  </si>
  <si>
    <t>49 дэх тоглолтын ялагч</t>
  </si>
  <si>
    <t>50 дахь тоглолтын ялагч</t>
  </si>
  <si>
    <t>51 дэх тоглолтын ялагч</t>
  </si>
  <si>
    <t>52 дахь тоглолтын ялагч</t>
  </si>
  <si>
    <t>61 дэх тоглолтын хожигдогч</t>
  </si>
  <si>
    <t>62 дэх тоглолтын хожигдогч</t>
  </si>
  <si>
    <t>Vitórias</t>
  </si>
  <si>
    <t>Empates</t>
  </si>
  <si>
    <t>Derrotas</t>
  </si>
  <si>
    <t>Golos Marcados</t>
  </si>
  <si>
    <t>Golos Sofridos</t>
  </si>
  <si>
    <t>Gry</t>
  </si>
  <si>
    <t>Zwycieztwa</t>
  </si>
  <si>
    <t>Remis</t>
  </si>
  <si>
    <t>Porazki</t>
  </si>
  <si>
    <t>Spilt</t>
  </si>
  <si>
    <t>Vunnet</t>
  </si>
  <si>
    <t>Uavgjort</t>
  </si>
  <si>
    <t>Tapt</t>
  </si>
  <si>
    <t>Antall mål for</t>
  </si>
  <si>
    <t>Antall mål mot</t>
  </si>
  <si>
    <t>Gewonnen</t>
  </si>
  <si>
    <t>Unentschieden</t>
  </si>
  <si>
    <t>Verloren</t>
  </si>
  <si>
    <t>Tore</t>
  </si>
  <si>
    <t>Gegentore</t>
  </si>
  <si>
    <t>Punkte</t>
  </si>
  <si>
    <t>Výhry</t>
  </si>
  <si>
    <t>Remízy</t>
  </si>
  <si>
    <t>Prehry</t>
  </si>
  <si>
    <t>เล่นแล้ว</t>
  </si>
  <si>
    <t>ชนะ</t>
  </si>
  <si>
    <t>เสมอ</t>
  </si>
  <si>
    <t xml:space="preserve">แพ้ </t>
  </si>
  <si>
    <t xml:space="preserve">ประตูที่ได้ </t>
  </si>
  <si>
    <t xml:space="preserve">ประตูที่เสีย </t>
  </si>
  <si>
    <t xml:space="preserve">ลูก </t>
  </si>
  <si>
    <t>Franta</t>
  </si>
  <si>
    <t>Statele Unite</t>
  </si>
  <si>
    <t>Coasta de Fildes</t>
  </si>
  <si>
    <t>Elvetia</t>
  </si>
  <si>
    <t>Limba</t>
  </si>
  <si>
    <t>Fus Orar</t>
  </si>
  <si>
    <t>Etapa Grupe</t>
  </si>
  <si>
    <t>Meciuri</t>
  </si>
  <si>
    <t>Clasament</t>
  </si>
  <si>
    <t>Tara</t>
  </si>
  <si>
    <t>Scor</t>
  </si>
  <si>
    <t>Saisprezecimi</t>
  </si>
  <si>
    <t>Sferturi de finala</t>
  </si>
  <si>
    <t>Semifinala</t>
  </si>
  <si>
    <t>Meci prntru Locul Trei</t>
  </si>
  <si>
    <t>Finala</t>
  </si>
  <si>
    <t>Castigator</t>
  </si>
  <si>
    <t>Locul Secund</t>
  </si>
  <si>
    <t>Timp Regulamentar</t>
  </si>
  <si>
    <t>Prelungiri</t>
  </si>
  <si>
    <t>Penalty-uri</t>
  </si>
  <si>
    <t>Meciul #</t>
  </si>
  <si>
    <t>Castigator Grupa A</t>
  </si>
  <si>
    <t>Castigator Grupa B</t>
  </si>
  <si>
    <t>Castigator Grupa C</t>
  </si>
  <si>
    <t>Castigator Grupa D</t>
  </si>
  <si>
    <t>Castigator Grupa E</t>
  </si>
  <si>
    <t>Castigator Grupa F</t>
  </si>
  <si>
    <t>Castigator Grupa G</t>
  </si>
  <si>
    <t>Castigator Grupa H</t>
  </si>
  <si>
    <t>Locul Secund Grupa A</t>
  </si>
  <si>
    <t>Locul Secund Grupa B</t>
  </si>
  <si>
    <t>Locul Secund Grupa C</t>
  </si>
  <si>
    <t>Locul Secund Grupa D</t>
  </si>
  <si>
    <t>Locul Secund Grupa E</t>
  </si>
  <si>
    <t>Locul Secund Grupa F</t>
  </si>
  <si>
    <t>Locul Secund Grupa G</t>
  </si>
  <si>
    <t>Locul Secund Grupa H</t>
  </si>
  <si>
    <t>Castigator Meci 53</t>
  </si>
  <si>
    <t>Castigator Meci 54</t>
  </si>
  <si>
    <t>Castigator Meci 55</t>
  </si>
  <si>
    <t>Castigator Meci 56</t>
  </si>
  <si>
    <t>Castigator Meci 57</t>
  </si>
  <si>
    <t>Castigator Meci 58</t>
  </si>
  <si>
    <t>Castigator Meci 59</t>
  </si>
  <si>
    <t>Castigator Meci 60</t>
  </si>
  <si>
    <t>Castigator Meci 61</t>
  </si>
  <si>
    <t>Castigator Meci 62</t>
  </si>
  <si>
    <t>Castigator Meci 63</t>
  </si>
  <si>
    <t>Castigator Meci 64</t>
  </si>
  <si>
    <t>Jucat</t>
  </si>
  <si>
    <t>Castigat</t>
  </si>
  <si>
    <t>Egal</t>
  </si>
  <si>
    <t>Pierdut</t>
  </si>
  <si>
    <t>Goluri Inscrise</t>
  </si>
  <si>
    <t>Goluri Primite</t>
  </si>
  <si>
    <t>Puncte</t>
  </si>
  <si>
    <t>Locul Doi</t>
  </si>
  <si>
    <t>Castigator Meci 49</t>
  </si>
  <si>
    <t>Castigator Meci 50</t>
  </si>
  <si>
    <t>Castigator Meci 51</t>
  </si>
  <si>
    <t>Castigator Meci 52</t>
  </si>
  <si>
    <t>Invinsul Meci 61</t>
  </si>
  <si>
    <t>Invinsul Meci 62</t>
  </si>
  <si>
    <t>Групповая стадия</t>
  </si>
  <si>
    <t xml:space="preserve">Результаты матчей </t>
  </si>
  <si>
    <t>Положение команд</t>
  </si>
  <si>
    <t>Команды</t>
  </si>
  <si>
    <t>Счет</t>
  </si>
  <si>
    <t>1/16 финала</t>
  </si>
  <si>
    <t>Четвертьфинал</t>
  </si>
  <si>
    <t>Полуфинал</t>
  </si>
  <si>
    <t>Матч за 3-е место</t>
  </si>
  <si>
    <t>Финал</t>
  </si>
  <si>
    <t>Основное время</t>
  </si>
  <si>
    <t>Чемпион мира</t>
  </si>
  <si>
    <t>2-е место группа A</t>
  </si>
  <si>
    <t>2-е место группа B</t>
  </si>
  <si>
    <t>2-е место группа C</t>
  </si>
  <si>
    <t>2-е место группа D</t>
  </si>
  <si>
    <t>2-е место группа E</t>
  </si>
  <si>
    <t>2-е место группа F</t>
  </si>
  <si>
    <t>2-е место группа G</t>
  </si>
  <si>
    <t>2-е место группа H</t>
  </si>
  <si>
    <t>Победы</t>
  </si>
  <si>
    <t>Ничьи</t>
  </si>
  <si>
    <t>Поражения</t>
  </si>
  <si>
    <t>Забито</t>
  </si>
  <si>
    <t>Пропущено</t>
  </si>
  <si>
    <t>Очки</t>
  </si>
  <si>
    <t>Проигравший матча 61</t>
  </si>
  <si>
    <t>Проигравший матча 62</t>
  </si>
  <si>
    <t>EE.UU.</t>
  </si>
  <si>
    <t>Zona horaria</t>
  </si>
  <si>
    <t>Fases</t>
  </si>
  <si>
    <t>Clasificaciones</t>
  </si>
  <si>
    <t>Tiempo</t>
  </si>
  <si>
    <t>Partido por el tercer lugar</t>
  </si>
  <si>
    <t>Hora Normal</t>
  </si>
  <si>
    <t>Tiempo suplementario</t>
  </si>
  <si>
    <t>Penales</t>
  </si>
  <si>
    <t>Ganador del Grupo A</t>
  </si>
  <si>
    <t>Ganador del Grupo B</t>
  </si>
  <si>
    <t>Ganador del Grupo C</t>
  </si>
  <si>
    <t>Ganador del Grupo D</t>
  </si>
  <si>
    <t>Ganador del Grupo E</t>
  </si>
  <si>
    <t>Ganador del Grupo F</t>
  </si>
  <si>
    <t>Ganador del Grupo G</t>
  </si>
  <si>
    <t>Ganador del Grupo H</t>
  </si>
  <si>
    <t>Subcampeón del Grupo A</t>
  </si>
  <si>
    <t>Subcampeón del Grupo B</t>
  </si>
  <si>
    <t>Ganador del partido 53</t>
  </si>
  <si>
    <t>Ganador del partido 54</t>
  </si>
  <si>
    <t>Ganador del partido 55</t>
  </si>
  <si>
    <t>Ganador del partido 56</t>
  </si>
  <si>
    <t>Ganador del partido 57</t>
  </si>
  <si>
    <t>Ganador del partido 58</t>
  </si>
  <si>
    <t>Ganador del partido 59</t>
  </si>
  <si>
    <t>Ganador del partido 60</t>
  </si>
  <si>
    <t>Ganador del partido 61</t>
  </si>
  <si>
    <t>Ganador del partido 62</t>
  </si>
  <si>
    <t>Ganador del partido 63</t>
  </si>
  <si>
    <t>Segundo lugar</t>
  </si>
  <si>
    <t>Ganador del partido 49</t>
  </si>
  <si>
    <t>Ganador del partido 50</t>
  </si>
  <si>
    <t>Ganador del partido 51</t>
  </si>
  <si>
    <t>Ganador del partido 52</t>
  </si>
  <si>
    <t>Perdedor del partido 61</t>
  </si>
  <si>
    <t>Perdedor del partido 62</t>
  </si>
  <si>
    <t xml:space="preserve">Attığı Gol </t>
  </si>
  <si>
    <t>Франція</t>
  </si>
  <si>
    <t>Нігерія</t>
  </si>
  <si>
    <t>Південна Корея</t>
  </si>
  <si>
    <t>Греція</t>
  </si>
  <si>
    <t>Англія</t>
  </si>
  <si>
    <t>Німеччина</t>
  </si>
  <si>
    <t xml:space="preserve">Австралія </t>
  </si>
  <si>
    <t>Нідерланди</t>
  </si>
  <si>
    <t>Японія</t>
  </si>
  <si>
    <t>Італія</t>
  </si>
  <si>
    <t>Бразилія</t>
  </si>
  <si>
    <t>Кот-д'Івуар</t>
  </si>
  <si>
    <t>Португалія</t>
  </si>
  <si>
    <t>Іспанія</t>
  </si>
  <si>
    <t>Швейцарія</t>
  </si>
  <si>
    <t>Чилі</t>
  </si>
  <si>
    <t>Мова</t>
  </si>
  <si>
    <t>Часовий пояс</t>
  </si>
  <si>
    <t>Груповий етап</t>
  </si>
  <si>
    <t>Матчі</t>
  </si>
  <si>
    <t>Положення команд</t>
  </si>
  <si>
    <t>Країна</t>
  </si>
  <si>
    <t>Рахунок</t>
  </si>
  <si>
    <t>Час</t>
  </si>
  <si>
    <t>1 / 16</t>
  </si>
  <si>
    <t>Чвертьфінал</t>
  </si>
  <si>
    <t>Полуфінал</t>
  </si>
  <si>
    <t>Матч за третє місце</t>
  </si>
  <si>
    <t>Фінал</t>
  </si>
  <si>
    <t>Переможець</t>
  </si>
  <si>
    <t>Друге місце</t>
  </si>
  <si>
    <t>Основний час</t>
  </si>
  <si>
    <t>Додатковий час</t>
  </si>
  <si>
    <t>Пенальті</t>
  </si>
  <si>
    <t>Чемпіон</t>
  </si>
  <si>
    <t>Матч №</t>
  </si>
  <si>
    <t>Переможець групи А</t>
  </si>
  <si>
    <t>Переможець групи B</t>
  </si>
  <si>
    <t>Переможець групи C</t>
  </si>
  <si>
    <t>Переможець групи D</t>
  </si>
  <si>
    <t>Переможець групи E</t>
  </si>
  <si>
    <t>Переможець групи F</t>
  </si>
  <si>
    <t>Переможець групи G</t>
  </si>
  <si>
    <t>Переможець групи H</t>
  </si>
  <si>
    <t>Друге місце в групі А</t>
  </si>
  <si>
    <t>Друге місце в групі B</t>
  </si>
  <si>
    <t>Друге місце в групі C</t>
  </si>
  <si>
    <t>Друге місце в групі D</t>
  </si>
  <si>
    <t>Друге місце в групі E</t>
  </si>
  <si>
    <t>Друге місце в групі F</t>
  </si>
  <si>
    <t>Друге місце в групі G</t>
  </si>
  <si>
    <t>Друге місце в групі H</t>
  </si>
  <si>
    <t>Переможець матчу № 53</t>
  </si>
  <si>
    <t>Переможець матчу № 54</t>
  </si>
  <si>
    <t>Переможець матчу № 55</t>
  </si>
  <si>
    <t>Переможець матчу № 56</t>
  </si>
  <si>
    <t>Переможець матчу № 57</t>
  </si>
  <si>
    <t>Переможець матчу № 58</t>
  </si>
  <si>
    <t>Переможець матчу № 59</t>
  </si>
  <si>
    <t>Переможець матчу № 60</t>
  </si>
  <si>
    <t>Переможець матчу № 61</t>
  </si>
  <si>
    <t>Переможець матчу № 62</t>
  </si>
  <si>
    <t>Переможець матчу № 63</t>
  </si>
  <si>
    <t>Переможець матчу № 64</t>
  </si>
  <si>
    <t>Зіграно матчів</t>
  </si>
  <si>
    <t>Перемога</t>
  </si>
  <si>
    <t>Нічія</t>
  </si>
  <si>
    <t>Програш</t>
  </si>
  <si>
    <t>Забито голів</t>
  </si>
  <si>
    <t>Пропущено голів</t>
  </si>
  <si>
    <t>Очкі</t>
  </si>
  <si>
    <t>Група F</t>
  </si>
  <si>
    <t>Група G</t>
  </si>
  <si>
    <t>Переможець матчу № 49</t>
  </si>
  <si>
    <t>Переможець матчу № 50</t>
  </si>
  <si>
    <t>Переможець матчу № 51</t>
  </si>
  <si>
    <t>Переможець матчу № 52</t>
  </si>
  <si>
    <t>Команда, що програла матч № 61</t>
  </si>
  <si>
    <t>Команда, що програла матч № 62</t>
  </si>
  <si>
    <t>Mê hi cô</t>
  </si>
  <si>
    <t>Ác hen tina</t>
  </si>
  <si>
    <t>Ni-giê-ria</t>
  </si>
  <si>
    <t>Nam Triều Tiên</t>
  </si>
  <si>
    <t>Mỹ</t>
  </si>
  <si>
    <t>Ga-na</t>
  </si>
  <si>
    <t>Ca-mơ-run</t>
  </si>
  <si>
    <t>Bra-xin</t>
  </si>
  <si>
    <t>Thụy Sỹ</t>
  </si>
  <si>
    <t>Hôn-du-rát</t>
  </si>
  <si>
    <t>Chi-lê</t>
  </si>
  <si>
    <t>Vòng bảng</t>
  </si>
  <si>
    <t>Trận đấu</t>
  </si>
  <si>
    <t xml:space="preserve">Vị trí </t>
  </si>
  <si>
    <t>Bảng</t>
  </si>
  <si>
    <t>Quốc gia</t>
  </si>
  <si>
    <t>Tỷ số</t>
  </si>
  <si>
    <t>Vòng 16 đội</t>
  </si>
  <si>
    <t>Vòng tứ kết</t>
  </si>
  <si>
    <t>Vòng bán kết</t>
  </si>
  <si>
    <t>Tranh giải 3</t>
  </si>
  <si>
    <t>Chung kết</t>
  </si>
  <si>
    <t>Đội thắng</t>
  </si>
  <si>
    <t>Giải nhì</t>
  </si>
  <si>
    <t>Thời gian thi đấu chính thức</t>
  </si>
  <si>
    <t>Thời gian bù giờ</t>
  </si>
  <si>
    <t>Pe-nan-ty</t>
  </si>
  <si>
    <t>Vô địch</t>
  </si>
  <si>
    <t>Trận đấu số #</t>
  </si>
  <si>
    <t>Nhất bảng A</t>
  </si>
  <si>
    <t>Nhất bảng B</t>
  </si>
  <si>
    <t>Nhất bảng C</t>
  </si>
  <si>
    <t>Nhất bảng D</t>
  </si>
  <si>
    <t>Nhất bảng E</t>
  </si>
  <si>
    <t>Nhất bảng F</t>
  </si>
  <si>
    <t>Nhất bảng G</t>
  </si>
  <si>
    <t>Nhất bảng H</t>
  </si>
  <si>
    <t>Nhì bảng A</t>
  </si>
  <si>
    <t>Nhì bảng B</t>
  </si>
  <si>
    <t>Nhì bảng C</t>
  </si>
  <si>
    <t>Nhì bảng D</t>
  </si>
  <si>
    <t>Nhì bảng E</t>
  </si>
  <si>
    <t>Nhì bảng F</t>
  </si>
  <si>
    <t>Nhì bảng G</t>
  </si>
  <si>
    <t>Nhì bảng H</t>
  </si>
  <si>
    <t>Thắng trận 53</t>
  </si>
  <si>
    <t>Thắng trận 54</t>
  </si>
  <si>
    <t>Thắng trận 55</t>
  </si>
  <si>
    <t>Thắng trận 56</t>
  </si>
  <si>
    <t>Thắng trận 57</t>
  </si>
  <si>
    <t>Thắng trận 58</t>
  </si>
  <si>
    <t>Thắng trận 59</t>
  </si>
  <si>
    <t>Thắng trận 60</t>
  </si>
  <si>
    <t>Thắng trận 61</t>
  </si>
  <si>
    <t>Thắng trận 62</t>
  </si>
  <si>
    <t>Thắng trận 63</t>
  </si>
  <si>
    <t>Thắng trận 64</t>
  </si>
  <si>
    <t>Số trận</t>
  </si>
  <si>
    <t>Thắng</t>
  </si>
  <si>
    <t>Hoà</t>
  </si>
  <si>
    <t>Thua</t>
  </si>
  <si>
    <t>Bàn thắng</t>
  </si>
  <si>
    <t>Bàn thua</t>
  </si>
  <si>
    <t>Giải Nhì</t>
  </si>
  <si>
    <t>Thắng trận 49</t>
  </si>
  <si>
    <t>Thắng trận 50</t>
  </si>
  <si>
    <t>Thắng trận 51</t>
  </si>
  <si>
    <t>Thắng trận 52</t>
  </si>
  <si>
    <t>Thua trận 61</t>
  </si>
  <si>
    <t>Thua trận 62</t>
  </si>
  <si>
    <t>Νικητής Αγώνα 49</t>
  </si>
  <si>
    <t>Νικητής Αγώνα 50</t>
  </si>
  <si>
    <t>Νικητής Αγώνα 51</t>
  </si>
  <si>
    <t>Νικητής Αγώνα 52</t>
  </si>
  <si>
    <t>マッチ49勝者</t>
  </si>
  <si>
    <t>マッチ50勝者</t>
  </si>
  <si>
    <t>マッチ51勝者</t>
  </si>
  <si>
    <t>マッチ52勝者</t>
  </si>
  <si>
    <t>一致61ルーザー</t>
  </si>
  <si>
    <t>一致62ルーザー</t>
  </si>
  <si>
    <t>경기 49 수상작</t>
  </si>
  <si>
    <t>경기 50 수상작</t>
  </si>
  <si>
    <t>경기 51 수상작</t>
  </si>
  <si>
    <t>경기 52 수상작</t>
  </si>
  <si>
    <t>경기 61 멍청이</t>
  </si>
  <si>
    <t>경기 62 멍청이</t>
  </si>
  <si>
    <t>Winner Match 49</t>
  </si>
  <si>
    <t>Winner Match 51</t>
  </si>
  <si>
    <t>Winner Match 52</t>
  </si>
  <si>
    <t>Tazza tad-Dinja u Scoresheet Iskeda 2,010</t>
  </si>
  <si>
    <t>Tazza tad-Dinja 2,010 Champion</t>
  </si>
  <si>
    <t>Vencedor Jogo 49</t>
  </si>
  <si>
    <t>Vencedor Jogo 51</t>
  </si>
  <si>
    <t>Победитель матча 49</t>
  </si>
  <si>
    <t>Победитель матча 50</t>
  </si>
  <si>
    <t>Победитель матча 51</t>
  </si>
  <si>
    <t>Победитель матча 52</t>
  </si>
  <si>
    <t>Победник меча 49</t>
  </si>
  <si>
    <t>Победник меча 50</t>
  </si>
  <si>
    <t>Победник меча 51</t>
  </si>
  <si>
    <t>Победник меча 52</t>
  </si>
  <si>
    <t>Победник Губитник 61</t>
  </si>
  <si>
    <t>Победник Губитник 62</t>
  </si>
  <si>
    <t>Perdedor partido 61</t>
  </si>
  <si>
    <t>Perdedor partido 62</t>
  </si>
  <si>
    <t>Maç 49 Galibi</t>
  </si>
  <si>
    <t>Maç 50 Galibi</t>
  </si>
  <si>
    <t>Maç 51 Galibi</t>
  </si>
  <si>
    <t>Maç 52 Galibi</t>
  </si>
  <si>
    <t>Gruppenphase</t>
  </si>
  <si>
    <t>Uhrzeit</t>
  </si>
  <si>
    <t>Elfenbeinküste</t>
  </si>
  <si>
    <t>Achtelfinale</t>
  </si>
  <si>
    <t>Halbfinale</t>
  </si>
  <si>
    <t>Spiel #</t>
  </si>
  <si>
    <t>Estados Unidos</t>
  </si>
  <si>
    <t>Ganados</t>
  </si>
  <si>
    <t>Empatados</t>
  </si>
  <si>
    <t>Perdidos</t>
  </si>
  <si>
    <t>Goles a favor</t>
  </si>
  <si>
    <t>Goles en contra</t>
  </si>
  <si>
    <t>Partido #</t>
  </si>
  <si>
    <t>Resultado</t>
  </si>
  <si>
    <t>Octavos de final</t>
  </si>
  <si>
    <t>Partido por el Tercer puesto</t>
  </si>
  <si>
    <t>Kalah Pertandingan 61</t>
  </si>
  <si>
    <t>Kalah Pertandingan 62</t>
  </si>
  <si>
    <t>Indonesian</t>
  </si>
  <si>
    <t>Goal scored against</t>
  </si>
  <si>
    <t>Point</t>
  </si>
  <si>
    <t>Second place</t>
  </si>
  <si>
    <t>Wedstryd #</t>
  </si>
  <si>
    <t>Groep A Winner</t>
  </si>
  <si>
    <t>Groep B Winnaar</t>
  </si>
  <si>
    <t>Groep C Winnaar</t>
  </si>
  <si>
    <t>Groep D Winnaar</t>
  </si>
  <si>
    <t>Groep E Winnaar</t>
  </si>
  <si>
    <t>Groep F Winnaar</t>
  </si>
  <si>
    <t>Groep G Winnaar</t>
  </si>
  <si>
    <t>Groep H Winnaar</t>
  </si>
  <si>
    <t>Groep A Runner Up</t>
  </si>
  <si>
    <t>Groep B Runner Up</t>
  </si>
  <si>
    <t>Groep C Runner Up</t>
  </si>
  <si>
    <t>Groep D Runner Up</t>
  </si>
  <si>
    <t>Groep E Runner Up</t>
  </si>
  <si>
    <t>Groep F Runner Up</t>
  </si>
  <si>
    <t>Groep G Runner Up</t>
  </si>
  <si>
    <t>Groep H Runner Up</t>
  </si>
  <si>
    <t>Match 53 Winnaar</t>
  </si>
  <si>
    <t>Match 54 Winnaar</t>
  </si>
  <si>
    <t>Match 55 Winnaar</t>
  </si>
  <si>
    <t>Match 56 Winnaar</t>
  </si>
  <si>
    <t>Match 57 Winnaar</t>
  </si>
  <si>
    <t>Match 58 Winnaar</t>
  </si>
  <si>
    <t>Match 59 Winnaar</t>
  </si>
  <si>
    <t>Match 60 Winnaar</t>
  </si>
  <si>
    <t>Match 61 Winnaar</t>
  </si>
  <si>
    <t>Match 62 Winnaar</t>
  </si>
  <si>
    <t>Match 63 Winnaar</t>
  </si>
  <si>
    <t>Match 64 Winnaar</t>
  </si>
  <si>
    <t>順位表</t>
  </si>
  <si>
    <t>グループ</t>
  </si>
  <si>
    <t>日付</t>
  </si>
  <si>
    <t>国</t>
  </si>
  <si>
    <t>スコア</t>
  </si>
  <si>
    <t>時間</t>
  </si>
  <si>
    <t>ラウンド16</t>
  </si>
  <si>
    <t>準々決勝</t>
  </si>
  <si>
    <t>準決勝</t>
  </si>
  <si>
    <t>試合の3位に</t>
  </si>
  <si>
    <t>ファイナル</t>
  </si>
  <si>
    <t>受賞</t>
  </si>
  <si>
    <t>ランナーを開設する</t>
  </si>
  <si>
    <t>通常の時間</t>
  </si>
  <si>
    <t>余分な時間</t>
  </si>
  <si>
    <t>ペナルティーシュートアウト</t>
  </si>
  <si>
    <t>チャンピオン</t>
  </si>
  <si>
    <t>멕시코</t>
  </si>
  <si>
    <t>우루과이</t>
  </si>
  <si>
    <t>프랑스</t>
  </si>
  <si>
    <t>아르헨티나</t>
  </si>
  <si>
    <t>나이지리아</t>
  </si>
  <si>
    <t>대한민국</t>
  </si>
  <si>
    <t>그리스</t>
  </si>
  <si>
    <t>잉글랜드</t>
  </si>
  <si>
    <t>미국</t>
  </si>
  <si>
    <t>알제리</t>
  </si>
  <si>
    <t>독일</t>
  </si>
  <si>
    <t>오스트 레일 리아</t>
  </si>
  <si>
    <t>가나</t>
  </si>
  <si>
    <t>네덜란드</t>
  </si>
  <si>
    <t>일본</t>
  </si>
  <si>
    <t>카메룬</t>
  </si>
  <si>
    <t>이탈리아</t>
  </si>
  <si>
    <t>브라질</t>
  </si>
  <si>
    <t>코트 디부 아르</t>
  </si>
  <si>
    <t>포르투갈</t>
  </si>
  <si>
    <t>스페인</t>
  </si>
  <si>
    <t>스위스</t>
  </si>
  <si>
    <t>온두라스</t>
  </si>
  <si>
    <t>칠레</t>
  </si>
  <si>
    <t>언어</t>
  </si>
  <si>
    <t>시간대</t>
  </si>
  <si>
    <t>그룹 단계</t>
  </si>
  <si>
    <t>일치</t>
  </si>
  <si>
    <t>순위</t>
  </si>
  <si>
    <t>그룹</t>
  </si>
  <si>
    <t>날짜</t>
  </si>
  <si>
    <t>국가</t>
  </si>
  <si>
    <t>점수</t>
  </si>
  <si>
    <t>시간</t>
  </si>
  <si>
    <t>라운드 16</t>
  </si>
  <si>
    <t>8 강전</t>
  </si>
  <si>
    <t>준결승</t>
  </si>
  <si>
    <t>경기 3 위</t>
  </si>
  <si>
    <t>결승</t>
  </si>
  <si>
    <t>수상작</t>
  </si>
  <si>
    <t>러너 업</t>
  </si>
  <si>
    <t>표준 시간</t>
  </si>
  <si>
    <t>추가 시간</t>
  </si>
  <si>
    <t>승부 차기 없음</t>
  </si>
  <si>
    <t>챔피언</t>
  </si>
  <si>
    <t>Japanese</t>
  </si>
  <si>
    <t>Korean</t>
  </si>
  <si>
    <t>Match #</t>
  </si>
  <si>
    <t>Amerika Syarikat</t>
  </si>
  <si>
    <t>Ivory Coast</t>
  </si>
  <si>
    <t>Zon Waktu</t>
  </si>
  <si>
    <t>Peringkat Kumpulan</t>
  </si>
  <si>
    <t>Perlawanan</t>
  </si>
  <si>
    <t>Kedudukan</t>
  </si>
  <si>
    <t>Kumpulan</t>
  </si>
  <si>
    <t>Keputusan</t>
  </si>
  <si>
    <t>Waktu Biasa</t>
  </si>
  <si>
    <t>Pusingan 16 Pasukan</t>
  </si>
  <si>
    <t>Suku Akhir</t>
  </si>
  <si>
    <t>Separuh Akhir</t>
  </si>
  <si>
    <t>Perlawanan Tempat Ketiga</t>
  </si>
  <si>
    <t>Akhir</t>
  </si>
  <si>
    <t>Johan</t>
  </si>
  <si>
    <t>Naib Johan</t>
  </si>
  <si>
    <t>Tambahan Masa</t>
  </si>
  <si>
    <t>Tendangan Penalti</t>
  </si>
  <si>
    <t>Perlawanan #</t>
  </si>
  <si>
    <t>Johan Kumpulan A</t>
  </si>
  <si>
    <t>Johan Kumpulan B</t>
  </si>
  <si>
    <t>Johan Kumpulan C</t>
  </si>
  <si>
    <t>Johan Kumpulan D</t>
  </si>
  <si>
    <t>Johan Kumpulan E</t>
  </si>
  <si>
    <t>Johan Kumpulan F</t>
  </si>
  <si>
    <t>Johan Kumpulan G</t>
  </si>
  <si>
    <t>Johan Kumpulan H</t>
  </si>
  <si>
    <t>Naib Johan Kumpulan A</t>
  </si>
  <si>
    <t>Naib Johan Kumpulan B</t>
  </si>
  <si>
    <t>Naib Johan Kumpulan C</t>
  </si>
  <si>
    <t>Naib Johan Kumpulan D</t>
  </si>
  <si>
    <t>Naib Johan Kumpulan E</t>
  </si>
  <si>
    <t>Naib Johan Kumpulan F</t>
  </si>
  <si>
    <t>Naib Johan Kumpulan G</t>
  </si>
  <si>
    <t>Naib Johan Kumpulan H</t>
  </si>
  <si>
    <t>Johan Perlawanan 53</t>
  </si>
  <si>
    <t>Johan Perlawanan 54</t>
  </si>
  <si>
    <t>Johan Perlawanan 55</t>
  </si>
  <si>
    <t>Johan Perlawanan 56</t>
  </si>
  <si>
    <t>Johan Perlawanan 57</t>
  </si>
  <si>
    <t>Johan Perlawanan 58</t>
  </si>
  <si>
    <t>Johan Perlawanan 59</t>
  </si>
  <si>
    <t>Johan Perlawanan 60</t>
  </si>
  <si>
    <t>Johan Perlawanan 61</t>
  </si>
  <si>
    <t>Johan Perlawanan 62</t>
  </si>
  <si>
    <t>Johan Perlawanan 63</t>
  </si>
  <si>
    <t>Johan Perlawanan 64</t>
  </si>
  <si>
    <t>Tempat Kedua</t>
  </si>
  <si>
    <t>Johan Perlawanan 49</t>
  </si>
  <si>
    <t>Johan Perlawanan 50</t>
  </si>
  <si>
    <t>Johan Perlawanan 51</t>
  </si>
  <si>
    <t>Johan Perlawanan 52</t>
  </si>
  <si>
    <t>Naib Johan Perlawanan 61</t>
  </si>
  <si>
    <t>Naib Johan Perlawanan 62</t>
  </si>
  <si>
    <t>Zuid Korea</t>
  </si>
  <si>
    <t>Tijdzone</t>
  </si>
  <si>
    <t>Groep Stages</t>
  </si>
  <si>
    <t>Wedstrijden</t>
  </si>
  <si>
    <t>Stand</t>
  </si>
  <si>
    <t>Wedstrijd om de derde plaats</t>
  </si>
  <si>
    <t>Tweede Plaats</t>
  </si>
  <si>
    <t>Normale Tijd</t>
  </si>
  <si>
    <t>Extra Tijd</t>
  </si>
  <si>
    <t>Strafschoppen</t>
  </si>
  <si>
    <t>Wedstrijd #</t>
  </si>
  <si>
    <t>Groep A Winnaar</t>
  </si>
  <si>
    <t>Groep A Tweede Plaats</t>
  </si>
  <si>
    <t>Groep B Tweede Plaats</t>
  </si>
  <si>
    <t>Groep C Tweede Plaats</t>
  </si>
  <si>
    <t>Groep D Tweede Plaats</t>
  </si>
  <si>
    <t>Groep E Tweede Plaats</t>
  </si>
  <si>
    <t>Groep F Tweede Plaats</t>
  </si>
  <si>
    <t>Groep G Tweede Plaats</t>
  </si>
  <si>
    <t>Groep H Tweede Plaats</t>
  </si>
  <si>
    <t>Wedstrijd 53 Winnaar</t>
  </si>
  <si>
    <t>Wedstrijd 54 Winnaar</t>
  </si>
  <si>
    <t>Wedstrijd 55 Winnaar</t>
  </si>
  <si>
    <t>Wedstrijd 56 Winnaar</t>
  </si>
  <si>
    <t>Wedstrijd 57 Winnaar</t>
  </si>
  <si>
    <t>Wedstrijd 58 Winnaar</t>
  </si>
  <si>
    <t>Wedstrijd 59 Winnaar</t>
  </si>
  <si>
    <t>Wedstrijd 60 Winnaar</t>
  </si>
  <si>
    <t>Wedstrijd 61 Winnaar</t>
  </si>
  <si>
    <t>Wedstrijd 62 Winnaar</t>
  </si>
  <si>
    <t>Wedstrijd 63 Winnaar</t>
  </si>
  <si>
    <t>Wedstrijd 64 Winnaar</t>
  </si>
  <si>
    <t>Gespeeld (P)</t>
  </si>
  <si>
    <t>Wedstrijd 49 Winnaar</t>
  </si>
  <si>
    <t>Wedstrijd 50 Winnaar</t>
  </si>
  <si>
    <t>Wedstrijd 51 Winnaar</t>
  </si>
  <si>
    <t>Wedstrijd 52 Winnaar</t>
  </si>
  <si>
    <t>Wedstrijd 61 Loser</t>
  </si>
  <si>
    <t>Wedstrijd 62 Loser</t>
  </si>
  <si>
    <t>Suiça</t>
  </si>
  <si>
    <t>Fuso Horário</t>
  </si>
  <si>
    <t>Grupo de Fases</t>
  </si>
  <si>
    <t>Jogos</t>
  </si>
  <si>
    <t>Posições</t>
  </si>
  <si>
    <t>Horário</t>
  </si>
  <si>
    <t>Oitavas de Finais</t>
  </si>
  <si>
    <t>Quartas de Finais</t>
  </si>
  <si>
    <t>Semi Finais</t>
  </si>
  <si>
    <t>Descisão do Terceiro Lugar</t>
  </si>
  <si>
    <t>Vencedor</t>
  </si>
  <si>
    <t>Segundo Colocado</t>
  </si>
  <si>
    <t>Tempo Normal</t>
  </si>
  <si>
    <t>Prorrogação</t>
  </si>
  <si>
    <t>Pênalti</t>
  </si>
  <si>
    <t>Jogo #</t>
  </si>
  <si>
    <t>Vencedor do Grupo A</t>
  </si>
  <si>
    <t>Vencedor do Grupo C</t>
  </si>
  <si>
    <t>Vencedor do Grupo E</t>
  </si>
  <si>
    <t>Segundo Colocado do Grupo A</t>
  </si>
  <si>
    <t>Segundo Colocado do Grupo B</t>
  </si>
  <si>
    <t>Segundo Colocado do Grupo C</t>
  </si>
  <si>
    <t>Segundo Colocado do Grupo D</t>
  </si>
  <si>
    <t>Segundo Colocado do Grupo E</t>
  </si>
  <si>
    <t>Segundo Colocado do Grupo F</t>
  </si>
  <si>
    <t>Segundo Colocado do Grupo G</t>
  </si>
  <si>
    <t>Segundo Colocado do Grupo H</t>
  </si>
  <si>
    <t>Vencedor do Jogo 53</t>
  </si>
  <si>
    <t>Vencedor do Jogo 54</t>
  </si>
  <si>
    <t>Vencedor do Jogo 55</t>
  </si>
  <si>
    <t>Vencedor do Jogo 56</t>
  </si>
  <si>
    <t>Vencedor do Jogo 57</t>
  </si>
  <si>
    <t>Vencedor do Jogo 58</t>
  </si>
  <si>
    <t>Vencedor do Jogo 59</t>
  </si>
  <si>
    <t>Vencedor do Jogo 60</t>
  </si>
  <si>
    <t>Vencedor do Jogo 61</t>
  </si>
  <si>
    <t>Vencedor do Jogo 62</t>
  </si>
  <si>
    <t>Vencedor do Jogo 63</t>
  </si>
  <si>
    <t>Vencedor do Jogo 64</t>
  </si>
  <si>
    <t>Vitória</t>
  </si>
  <si>
    <t>Empate</t>
  </si>
  <si>
    <t>Derrota</t>
  </si>
  <si>
    <t>Gols a Favor</t>
  </si>
  <si>
    <t>Gols Contra</t>
  </si>
  <si>
    <t>Pontos</t>
  </si>
  <si>
    <t>Segundo Lugar</t>
  </si>
  <si>
    <t>Vencedor do Jogo 49</t>
  </si>
  <si>
    <t>Vencedor do Jogo 50</t>
  </si>
  <si>
    <t>Vencedor do Jogo 51</t>
  </si>
  <si>
    <t>Vencedor do Jogo 52</t>
  </si>
  <si>
    <t>Pededor do Jogo 61</t>
  </si>
  <si>
    <t>Pededor do Jogo 62</t>
  </si>
  <si>
    <t>乌拉圭</t>
  </si>
  <si>
    <t>法国</t>
  </si>
  <si>
    <t>尼日利亚</t>
  </si>
  <si>
    <t>韩国</t>
  </si>
  <si>
    <t>希腊</t>
  </si>
  <si>
    <t>英格兰</t>
  </si>
  <si>
    <t>美国</t>
  </si>
  <si>
    <t>阿尔及利亚</t>
  </si>
  <si>
    <t>德国</t>
  </si>
  <si>
    <t>澳大利亚</t>
  </si>
  <si>
    <t>加纳</t>
  </si>
  <si>
    <t>荷兰</t>
  </si>
  <si>
    <t>喀麦隆</t>
  </si>
  <si>
    <t>科特迪瓦</t>
  </si>
  <si>
    <t>语言</t>
  </si>
  <si>
    <t>时区</t>
  </si>
  <si>
    <t>小组赛阶段</t>
  </si>
  <si>
    <t>赛程和比分</t>
  </si>
  <si>
    <t>小组积分榜</t>
  </si>
  <si>
    <t>小组</t>
  </si>
  <si>
    <t>国家</t>
  </si>
  <si>
    <t>比分</t>
  </si>
  <si>
    <t>时间</t>
  </si>
  <si>
    <t>四分之一决赛</t>
  </si>
  <si>
    <t>半决赛</t>
  </si>
  <si>
    <t>三四名决赛</t>
  </si>
  <si>
    <t>决赛</t>
  </si>
  <si>
    <t>胜者</t>
  </si>
  <si>
    <t>第二</t>
  </si>
  <si>
    <t>加时赛</t>
  </si>
  <si>
    <t>互射点球</t>
  </si>
  <si>
    <t>冠军</t>
  </si>
  <si>
    <t>场次</t>
  </si>
  <si>
    <t>A组第二</t>
  </si>
  <si>
    <t>B组第二</t>
  </si>
  <si>
    <t>C组第二</t>
  </si>
  <si>
    <t>D组第二</t>
  </si>
  <si>
    <t>E组第二</t>
  </si>
  <si>
    <t>F组第二</t>
  </si>
  <si>
    <t>G组第二</t>
  </si>
  <si>
    <t>H组第二</t>
  </si>
  <si>
    <t>胜</t>
  </si>
  <si>
    <t>平</t>
  </si>
  <si>
    <t>负</t>
  </si>
  <si>
    <t>进球</t>
  </si>
  <si>
    <t>失球</t>
  </si>
  <si>
    <t>积分</t>
  </si>
  <si>
    <t>Hebrew</t>
  </si>
  <si>
    <t>מקסיקו</t>
  </si>
  <si>
    <t>אורוגואי</t>
  </si>
  <si>
    <t>צרפת</t>
  </si>
  <si>
    <t>ארגנטינה</t>
  </si>
  <si>
    <t>ניגריה</t>
  </si>
  <si>
    <t>דרום קוריאה</t>
  </si>
  <si>
    <t>יוון</t>
  </si>
  <si>
    <t>אנגליה</t>
  </si>
  <si>
    <t>ארצות הברית</t>
  </si>
  <si>
    <t>אלג'יריה</t>
  </si>
  <si>
    <t>גרמניה</t>
  </si>
  <si>
    <t>אוסטרליה</t>
  </si>
  <si>
    <t>גאנה</t>
  </si>
  <si>
    <t>הולנד</t>
  </si>
  <si>
    <t>יפן</t>
  </si>
  <si>
    <t>קמרון</t>
  </si>
  <si>
    <t>איטליה</t>
  </si>
  <si>
    <t>ברזיל</t>
  </si>
  <si>
    <t>חוף השנהב</t>
  </si>
  <si>
    <t>פורטוגל</t>
  </si>
  <si>
    <t>ספרד</t>
  </si>
  <si>
    <t>שוויץ</t>
  </si>
  <si>
    <t>הונדורס</t>
  </si>
  <si>
    <t>צ'ילה</t>
  </si>
  <si>
    <t>שפה</t>
  </si>
  <si>
    <t>אזור זמן</t>
  </si>
  <si>
    <t>שלב הבתים</t>
  </si>
  <si>
    <t>משחקים</t>
  </si>
  <si>
    <t>מקומות\עמדות</t>
  </si>
  <si>
    <t>בית</t>
  </si>
  <si>
    <t>תאריך</t>
  </si>
  <si>
    <t>מדינה</t>
  </si>
  <si>
    <t>תוצאה</t>
  </si>
  <si>
    <t>זמן</t>
  </si>
  <si>
    <t>שלב 16 האחרונות</t>
  </si>
  <si>
    <t>רבע גמר</t>
  </si>
  <si>
    <t>חצי גמר</t>
  </si>
  <si>
    <t>המשחק על המקום השלישי</t>
  </si>
  <si>
    <t>גמר</t>
  </si>
  <si>
    <t>זוכה</t>
  </si>
  <si>
    <t>סגנית</t>
  </si>
  <si>
    <t>זמן חוקי</t>
  </si>
  <si>
    <t>הארכה</t>
  </si>
  <si>
    <t>בעיטות עונשין מאחד עשר מטר</t>
  </si>
  <si>
    <t>אלופה</t>
  </si>
  <si>
    <t>משחק</t>
  </si>
  <si>
    <t>אלופת בית א'</t>
  </si>
  <si>
    <t>אלופת בית ב'</t>
  </si>
  <si>
    <t>אלופת בית ג'</t>
  </si>
  <si>
    <t>אלופת בית ד'</t>
  </si>
  <si>
    <t>אלופת בית ה'</t>
  </si>
  <si>
    <t>אלופת בית ו'</t>
  </si>
  <si>
    <t>אלופת בית ז'</t>
  </si>
  <si>
    <t>אלופת בית ח'</t>
  </si>
  <si>
    <t>סגנית בית א'</t>
  </si>
  <si>
    <t>סגנית בית ב'</t>
  </si>
  <si>
    <t>סגנית בית ג'</t>
  </si>
  <si>
    <t>סגנית בית ד'</t>
  </si>
  <si>
    <t>סגנית בית ה'</t>
  </si>
  <si>
    <t>סגנית בית ו'</t>
  </si>
  <si>
    <t>סגנית בית ז'</t>
  </si>
  <si>
    <t>סגנית בית ח'</t>
  </si>
  <si>
    <t>מנצחת משחק מספר 53</t>
  </si>
  <si>
    <t>מנצחת משחק מספר 54</t>
  </si>
  <si>
    <t>מנצחת משחק מספר 55</t>
  </si>
  <si>
    <t>מנצחת משחק מספר 56</t>
  </si>
  <si>
    <t>מנצחת משחק מספר 57</t>
  </si>
  <si>
    <t>מנצחת משחק מספר 58</t>
  </si>
  <si>
    <t>מנצחת משחק מספר 59</t>
  </si>
  <si>
    <t>מנצחת משחק מספר 60</t>
  </si>
  <si>
    <t>מנצחת משחק מספר 61</t>
  </si>
  <si>
    <t>מנצחת משחק מספר 62</t>
  </si>
  <si>
    <t>İkinci</t>
  </si>
  <si>
    <t>Normal Süre</t>
  </si>
  <si>
    <t>Uzatmalar</t>
  </si>
  <si>
    <t>Penaltı Atışları</t>
  </si>
  <si>
    <t>Maç No</t>
  </si>
  <si>
    <t>Grup A Birincisi</t>
  </si>
  <si>
    <t>Grup B Birincisi</t>
  </si>
  <si>
    <t>Grup C Birincisi</t>
  </si>
  <si>
    <t>Grup D Birincisi</t>
  </si>
  <si>
    <t>Grup E Birincisi</t>
  </si>
  <si>
    <t>Grup F Birincisi</t>
  </si>
  <si>
    <t>Grup G Birincisi</t>
  </si>
  <si>
    <t>Grup H Birincisi</t>
  </si>
  <si>
    <t>Grup A İkincisi</t>
  </si>
  <si>
    <t>Grup B İkincisi</t>
  </si>
  <si>
    <t>Grup C İkincisi</t>
  </si>
  <si>
    <t>Grup D İkincisi</t>
  </si>
  <si>
    <t>Grup E İkincisi</t>
  </si>
  <si>
    <t>Grup F İkincisi</t>
  </si>
  <si>
    <t>Grup G İkincisi</t>
  </si>
  <si>
    <t>Grup H İkincisi</t>
  </si>
  <si>
    <t>Oynanan</t>
  </si>
  <si>
    <t>Galibiyet</t>
  </si>
  <si>
    <t>Beraberlik</t>
  </si>
  <si>
    <t>Mağlubiyet</t>
  </si>
  <si>
    <t>Yediği Gol</t>
  </si>
  <si>
    <t>İkinci sıra</t>
  </si>
  <si>
    <t>Maç 61 Mağlubu</t>
  </si>
  <si>
    <t>Maç 62 Mağlubu</t>
  </si>
  <si>
    <t>Ottelun 60 voittaja</t>
  </si>
  <si>
    <t>Ottelun 61 voittaja</t>
  </si>
  <si>
    <t>Ottelun 62 voittaja</t>
  </si>
  <si>
    <t>Ottelun 63 voittaja</t>
  </si>
  <si>
    <t>Ottelun 64 voittaja</t>
  </si>
  <si>
    <t>Vieraile exceltemplate.net lisää malleja ja päivitykset</t>
  </si>
  <si>
    <t>Lohko E</t>
  </si>
  <si>
    <t>Lohko F</t>
  </si>
  <si>
    <t>Lohko G</t>
  </si>
  <si>
    <t>Lohko H</t>
  </si>
  <si>
    <t>Exceltemplate.net Visite pour des modèles et des mises à jour</t>
  </si>
  <si>
    <t>Groupe A</t>
  </si>
  <si>
    <t>Groupe B</t>
  </si>
  <si>
    <t>Groupe C</t>
  </si>
  <si>
    <t>Groupe D</t>
  </si>
  <si>
    <t>Groupe E</t>
  </si>
  <si>
    <t>Groupe F</t>
  </si>
  <si>
    <t>Groupe G</t>
  </si>
  <si>
    <t>Groupe H</t>
  </si>
  <si>
    <t>Sieger Gruppe C</t>
  </si>
  <si>
    <t>Besuchen Sie exceltemplate.net für mehrere Vorlagen und Updates</t>
  </si>
  <si>
    <t>Νικητής Αγώνα 53</t>
  </si>
  <si>
    <t>Νικητής Αγώνα 54</t>
  </si>
  <si>
    <t>Νικητής Αγώνα 55</t>
  </si>
  <si>
    <t>Νικητής Αγώνα 56</t>
  </si>
  <si>
    <t>Νικητής Αγώνα 57</t>
  </si>
  <si>
    <t>Νικητής Αγώνα 58</t>
  </si>
  <si>
    <t>Νικητής Αγώνα 59</t>
  </si>
  <si>
    <t>Νικητής Αγώνα 60</t>
  </si>
  <si>
    <t>Νικητής Αγώνα 61</t>
  </si>
  <si>
    <t>Νικητής Αγώνα 62</t>
  </si>
  <si>
    <t>Νικητής Αγώνα 63</t>
  </si>
  <si>
    <t>Νικητής Αγώνα 64</t>
  </si>
  <si>
    <t>Επισκεφθείτε exceltemplate.net για περισσότερα πρότυπα και ενημερώσεις</t>
  </si>
  <si>
    <t>D csoport győztese</t>
  </si>
  <si>
    <t>E csoport győztese</t>
  </si>
  <si>
    <t>F csoport győztese</t>
  </si>
  <si>
    <t>G csoport győztese</t>
  </si>
  <si>
    <t>H csoport győztese</t>
  </si>
  <si>
    <t>Látogassa exceltemplate.net További sablonok és frissítések</t>
  </si>
  <si>
    <t>C csoport</t>
  </si>
  <si>
    <t>D csoport</t>
  </si>
  <si>
    <t>E csoport</t>
  </si>
  <si>
    <t>F csoport</t>
  </si>
  <si>
    <t>G csoport</t>
  </si>
  <si>
    <t>H csoport</t>
  </si>
  <si>
    <t>Exceltemplate.net visita per i modelli più e aggiornamenti</t>
  </si>
  <si>
    <t>Secondo posto</t>
  </si>
  <si>
    <t>Gruppo A</t>
  </si>
  <si>
    <t>Gruppo B</t>
  </si>
  <si>
    <t>Gruppo C</t>
  </si>
  <si>
    <t>Gruppo D</t>
  </si>
  <si>
    <t>Gruppo E</t>
  </si>
  <si>
    <t>Gruppo F</t>
  </si>
  <si>
    <t>Gruppo G</t>
  </si>
  <si>
    <t>Gruppo H</t>
  </si>
  <si>
    <t>一致する＃</t>
  </si>
  <si>
    <t>グループ受賞</t>
  </si>
  <si>
    <t>グループBの勝者</t>
  </si>
  <si>
    <t>グループCの勝者</t>
  </si>
  <si>
    <t>グループDの勝者</t>
  </si>
  <si>
    <t>グループEの勝者</t>
  </si>
  <si>
    <t>グループFの勝者</t>
  </si>
  <si>
    <t>グループGの勝者</t>
  </si>
  <si>
    <t>グループHの勝者</t>
  </si>
  <si>
    <t>グループのランナーを開設する</t>
  </si>
  <si>
    <t>グループBのランナーを開設する</t>
  </si>
  <si>
    <t>グループCのランナーを開設する</t>
  </si>
  <si>
    <t>グループDランナーを開設する</t>
  </si>
  <si>
    <t>グループEのランナーを開設する</t>
  </si>
  <si>
    <t>グループFのランナーを開設する</t>
  </si>
  <si>
    <t>グループGのランナーを開設する</t>
  </si>
  <si>
    <t>グループHでは、ランナーを開設する</t>
  </si>
  <si>
    <t>マッチ53勝者</t>
  </si>
  <si>
    <t>マッチ54勝者</t>
  </si>
  <si>
    <t>マッチ55勝者</t>
  </si>
  <si>
    <t>マッチ56勝者</t>
  </si>
  <si>
    <t>マッチ57勝者</t>
  </si>
  <si>
    <t>マッチ58勝者</t>
  </si>
  <si>
    <t>マッチ59勝者</t>
  </si>
  <si>
    <t>マッチ60勝者</t>
  </si>
  <si>
    <t>マッチ61勝者</t>
  </si>
  <si>
    <t>マッチ62勝者</t>
  </si>
  <si>
    <t>マッチ63勝者</t>
  </si>
  <si>
    <t>マッチ64勝者</t>
  </si>
  <si>
    <t>さらに、テンプレートや更新のための訪問exceltemplate.net</t>
  </si>
  <si>
    <t>演奏</t>
  </si>
  <si>
    <t>描画する</t>
  </si>
  <si>
    <t>失う</t>
  </si>
  <si>
    <t>ゴールゴール</t>
  </si>
  <si>
    <t>目標に対してゴール</t>
  </si>
  <si>
    <t>ポイント</t>
  </si>
  <si>
    <t>2位</t>
  </si>
  <si>
    <t>グループB</t>
  </si>
  <si>
    <t>グループC</t>
  </si>
  <si>
    <t>グループD</t>
  </si>
  <si>
    <t>グループE</t>
  </si>
  <si>
    <t>グループF</t>
  </si>
  <si>
    <t>グループG</t>
  </si>
  <si>
    <t>グループH</t>
  </si>
  <si>
    <t>경기 #</t>
  </si>
  <si>
    <t>그룹 수상작</t>
  </si>
  <si>
    <t>B 조 수상작</t>
  </si>
  <si>
    <t>C 조 수상작</t>
  </si>
  <si>
    <t>D 조 수상작</t>
  </si>
  <si>
    <t>E 조 수상작</t>
  </si>
  <si>
    <t>F 조 수상작</t>
  </si>
  <si>
    <t>G 조 수상작</t>
  </si>
  <si>
    <t>H 조 수상작</t>
  </si>
  <si>
    <t>조 준우승</t>
  </si>
  <si>
    <t>B 조 준우승</t>
  </si>
  <si>
    <t>C 조 준우승</t>
  </si>
  <si>
    <t>D 조 준우승</t>
  </si>
  <si>
    <t>E 조 준우승</t>
  </si>
  <si>
    <t>F 조 준우승</t>
  </si>
  <si>
    <t>P :</t>
  </si>
  <si>
    <t>W :</t>
  </si>
  <si>
    <t>D :</t>
  </si>
  <si>
    <t>L :</t>
  </si>
  <si>
    <t>F :</t>
  </si>
  <si>
    <t>A :</t>
  </si>
  <si>
    <t>Pt :</t>
  </si>
  <si>
    <t>Match 49 Winner</t>
  </si>
  <si>
    <t>Match 50 Winner</t>
  </si>
  <si>
    <t>Match 51 Winner</t>
  </si>
  <si>
    <t>Match 52 Winner</t>
  </si>
  <si>
    <t>Match 61 Loser</t>
  </si>
  <si>
    <t>Match 62 Loser</t>
  </si>
  <si>
    <t>G 조 준우승</t>
  </si>
  <si>
    <t>H 조 준우승</t>
  </si>
  <si>
    <t>경기 53 수상작</t>
  </si>
  <si>
    <t>경기 54 수상작</t>
  </si>
  <si>
    <t>경기 55 수상작</t>
  </si>
  <si>
    <t>경기 56 수상작</t>
  </si>
  <si>
    <t>경기 57 수상작</t>
  </si>
  <si>
    <t>경기 58 수상작</t>
  </si>
  <si>
    <t>경기 59 수상작</t>
  </si>
  <si>
    <t>경기 60 수상작</t>
  </si>
  <si>
    <t>경기 61 수상작</t>
  </si>
  <si>
    <t>경기 62 수상작</t>
  </si>
  <si>
    <t>경기 63 수상작</t>
  </si>
  <si>
    <t>경기 64 수상작</t>
  </si>
  <si>
    <t>더 많은 서식 파일과 업데이 트에 대한 방문 exceltemplate.net</t>
  </si>
  <si>
    <t>종료</t>
  </si>
  <si>
    <t>그리기</t>
  </si>
  <si>
    <t>잃다</t>
  </si>
  <si>
    <t>목표에 대한 승리</t>
  </si>
  <si>
    <t>2 위</t>
  </si>
  <si>
    <t>B 조</t>
  </si>
  <si>
    <t>C 조</t>
  </si>
  <si>
    <t>D 조</t>
  </si>
  <si>
    <t>E 조</t>
  </si>
  <si>
    <t>F 조</t>
  </si>
  <si>
    <t>G 조</t>
  </si>
  <si>
    <t>H 조</t>
  </si>
  <si>
    <t>Rungtynių #</t>
  </si>
  <si>
    <t>Grupės nugalėtojas</t>
  </si>
  <si>
    <t>B grupės nugalėtojas</t>
  </si>
  <si>
    <t>C grupės nugalėtojas</t>
  </si>
  <si>
    <t>D grupės nugalėtojas</t>
  </si>
  <si>
    <t>E grupės nugalėtojas</t>
  </si>
  <si>
    <t>Grupė F nugalėtojas</t>
  </si>
  <si>
    <t>Grupė G nugalėtojas</t>
  </si>
  <si>
    <t>Grupė H nugalėtojas</t>
  </si>
  <si>
    <t>Grupė wicemistrz</t>
  </si>
  <si>
    <t>B grupė wicemistrz</t>
  </si>
  <si>
    <t>C grupė wicemistrz</t>
  </si>
  <si>
    <t>D grupėje antrą vietą</t>
  </si>
  <si>
    <t>E grupės wicemistrz</t>
  </si>
  <si>
    <t>F grupė wicemistrz</t>
  </si>
  <si>
    <t>Grupė G Runner Up</t>
  </si>
  <si>
    <t>H grupė wicemistrz</t>
  </si>
  <si>
    <t>Aplankykite exceltemplate.net daugiau šablonų ir atnaujinimai</t>
  </si>
  <si>
    <t>Baigta</t>
  </si>
  <si>
    <t>Piešti</t>
  </si>
  <si>
    <t>Prarasti</t>
  </si>
  <si>
    <t>Goal scored už</t>
  </si>
  <si>
    <t>Goal scored prieš</t>
  </si>
  <si>
    <t>Punktas</t>
  </si>
  <si>
    <t>Antroji vieta</t>
  </si>
  <si>
    <t>B grupė</t>
  </si>
  <si>
    <t>C grupė</t>
  </si>
  <si>
    <t>D grupė</t>
  </si>
  <si>
    <t>E grupė</t>
  </si>
  <si>
    <t>F grupė</t>
  </si>
  <si>
    <t>G grupė</t>
  </si>
  <si>
    <t>H grupė</t>
  </si>
  <si>
    <t>Lawati exceltemplate.net untuk lebih template dan update</t>
  </si>
  <si>
    <t>Kalah</t>
  </si>
  <si>
    <t>Kumpulan A</t>
  </si>
  <si>
    <t>Kumpulan B</t>
  </si>
  <si>
    <t>Kumpulan C</t>
  </si>
  <si>
    <t>Kumpulan D</t>
  </si>
  <si>
    <t>Kumpulan E</t>
  </si>
  <si>
    <t>Kumpulan F</t>
  </si>
  <si>
    <t>Kumpulan G</t>
  </si>
  <si>
    <t>Kumpulan H</t>
  </si>
  <si>
    <t>Grupp A Winner</t>
  </si>
  <si>
    <t>Grupp B Winner</t>
  </si>
  <si>
    <t>Grupp Ċ Winner</t>
  </si>
  <si>
    <t>Grupp D Winner</t>
  </si>
  <si>
    <t>Grupp E Winner</t>
  </si>
  <si>
    <t>Grupp F Winner</t>
  </si>
  <si>
    <t>Grupp G Winner</t>
  </si>
  <si>
    <t>Grupp H Winner</t>
  </si>
  <si>
    <t>Grupp A Runner Up</t>
  </si>
  <si>
    <t>Grupp B Runner Up</t>
  </si>
  <si>
    <t>Grupp Ċ Runner Up</t>
  </si>
  <si>
    <t>Grupp D Runner Up</t>
  </si>
  <si>
    <t>Grupp E Runner Up</t>
  </si>
  <si>
    <t>Grupp F Runner Up</t>
  </si>
  <si>
    <t>Grupp G Runner Up</t>
  </si>
  <si>
    <t>Grupp H Runner Up</t>
  </si>
  <si>
    <t>Winner Match 53</t>
  </si>
  <si>
    <t>Winner Match 54</t>
  </si>
  <si>
    <t>Winner Match 55</t>
  </si>
  <si>
    <t>Winner Match 56</t>
  </si>
  <si>
    <t>Winner Match 57</t>
  </si>
  <si>
    <t>Winner Match 58</t>
  </si>
  <si>
    <t>Winner Match 59</t>
  </si>
  <si>
    <t>Winner Match 60</t>
  </si>
  <si>
    <t>Winner Match 61</t>
  </si>
  <si>
    <t>Winner Match 62</t>
  </si>
  <si>
    <t>Winner Match 63</t>
  </si>
  <si>
    <t>Winner Match 64</t>
  </si>
  <si>
    <t>Exceltemplate.net Visit għal mudelli aktar u l-aġġornamenti</t>
  </si>
  <si>
    <t>Pinġi</t>
  </si>
  <si>
    <t>Itlef</t>
  </si>
  <si>
    <t>Gowl għall -</t>
  </si>
  <si>
    <t>Gowl kontra</t>
  </si>
  <si>
    <t>It-tieni post</t>
  </si>
  <si>
    <t>Grupp A</t>
  </si>
  <si>
    <t>Grupp B</t>
  </si>
  <si>
    <t>Grupp Ċ</t>
  </si>
  <si>
    <t>Grupp D</t>
  </si>
  <si>
    <t>Grupp E</t>
  </si>
  <si>
    <t>Grupp F</t>
  </si>
  <si>
    <t>Grupp G</t>
  </si>
  <si>
    <t>Grupp H</t>
  </si>
  <si>
    <t>Swedish</t>
  </si>
  <si>
    <t>Frankrike</t>
  </si>
  <si>
    <t>Grekland</t>
  </si>
  <si>
    <t>Nederländerna</t>
  </si>
  <si>
    <t>Elfenbenskusten</t>
  </si>
  <si>
    <t>Språk</t>
  </si>
  <si>
    <t>Tidszon</t>
  </si>
  <si>
    <t>Matcher</t>
  </si>
  <si>
    <t>Kvartsfinaler</t>
  </si>
  <si>
    <t>Semifinaler</t>
  </si>
  <si>
    <t>Vinnare</t>
  </si>
  <si>
    <t>Tvåa</t>
  </si>
  <si>
    <t>Förlängning</t>
  </si>
  <si>
    <t>Besök exceltemplate.net för Fler mallar och uppdateringar</t>
  </si>
  <si>
    <t>Grupp C</t>
  </si>
  <si>
    <t>Exceltemplate.net wizyty Więcej szablonów i aktualizacje</t>
  </si>
  <si>
    <t>Vencedor do Grupo B</t>
  </si>
  <si>
    <t>Vencedor Grupo C</t>
  </si>
  <si>
    <t>Vencedor do Grupo D</t>
  </si>
  <si>
    <t>Vencedor Grupo E</t>
  </si>
  <si>
    <t>German/Deutsch</t>
  </si>
  <si>
    <t>Norway</t>
  </si>
  <si>
    <t>Persian</t>
  </si>
  <si>
    <t>Slovak</t>
  </si>
  <si>
    <t>澳洲</t>
  </si>
  <si>
    <t>分組賽階段</t>
  </si>
  <si>
    <t>賽程表</t>
  </si>
  <si>
    <t>小組積分榜</t>
  </si>
  <si>
    <t>小組</t>
  </si>
  <si>
    <t>賽果</t>
  </si>
  <si>
    <t>十六強</t>
  </si>
  <si>
    <t>八強</t>
  </si>
  <si>
    <t>四強</t>
  </si>
  <si>
    <t>季軍戰</t>
  </si>
  <si>
    <t>法定時間</t>
  </si>
  <si>
    <t>加時</t>
  </si>
  <si>
    <t>十二碼</t>
  </si>
  <si>
    <t>場次#</t>
  </si>
  <si>
    <t>A組首名</t>
  </si>
  <si>
    <t>B組首名</t>
  </si>
  <si>
    <t>C組首名</t>
  </si>
  <si>
    <t>D組首名</t>
  </si>
  <si>
    <t>E組首名</t>
  </si>
  <si>
    <t>F組首名</t>
  </si>
  <si>
    <t>G組首名</t>
  </si>
  <si>
    <t>H組首名</t>
  </si>
  <si>
    <t>A組次名</t>
  </si>
  <si>
    <t>B組次名</t>
  </si>
  <si>
    <t>C組次名</t>
  </si>
  <si>
    <t>D組次名</t>
  </si>
  <si>
    <t>E組次名</t>
  </si>
  <si>
    <t>F組次名</t>
  </si>
  <si>
    <t>G組次名</t>
  </si>
  <si>
    <t>H組次名</t>
  </si>
  <si>
    <t>賽事53勝方</t>
  </si>
  <si>
    <t>賽事54勝方</t>
  </si>
  <si>
    <t>賽事55勝方</t>
  </si>
  <si>
    <t>賽事56勝方</t>
  </si>
  <si>
    <t>賽事57勝方</t>
  </si>
  <si>
    <t>賽事58勝方</t>
  </si>
  <si>
    <t>賽事59勝方</t>
  </si>
  <si>
    <t>賽事60勝方</t>
  </si>
  <si>
    <t>賽事61勝方</t>
  </si>
  <si>
    <t>賽事62勝方</t>
  </si>
  <si>
    <t>賽事63勝方</t>
  </si>
  <si>
    <t>賽事64勝方</t>
  </si>
  <si>
    <t>賽事</t>
  </si>
  <si>
    <t>勝</t>
  </si>
  <si>
    <t>和</t>
  </si>
  <si>
    <t>負</t>
  </si>
  <si>
    <t>得球</t>
  </si>
  <si>
    <t>積分</t>
  </si>
  <si>
    <t>賽事49勝方</t>
  </si>
  <si>
    <t>賽事50勝方</t>
  </si>
  <si>
    <t>賽事51勝方</t>
  </si>
  <si>
    <t>賽事52勝方</t>
  </si>
  <si>
    <t>賽事61負方</t>
  </si>
  <si>
    <t>2.sæti riðill F</t>
  </si>
  <si>
    <t>2.sæti riðill G</t>
  </si>
  <si>
    <t>2.sæti riðill H</t>
  </si>
  <si>
    <t>Sigurvegari leikur 53</t>
  </si>
  <si>
    <t>Sigurvegari leikur 54</t>
  </si>
  <si>
    <t>Sigurvegari leikur 55</t>
  </si>
  <si>
    <t>Sigurvegari leikur 56</t>
  </si>
  <si>
    <t>Sigurvegari leikur 57</t>
  </si>
  <si>
    <t>Sigurvegari leikur 58</t>
  </si>
  <si>
    <t>Sigurvegari leikur 59</t>
  </si>
  <si>
    <t>Sigurvegari leikur 60</t>
  </si>
  <si>
    <t>Sigurvegari leikur 61</t>
  </si>
  <si>
    <t>Sigurvegari leikur 62</t>
  </si>
  <si>
    <t>Sigurvegari leikur 63</t>
  </si>
  <si>
    <t>Sigurvegari leikur 64</t>
  </si>
  <si>
    <t>Sigur</t>
  </si>
  <si>
    <t>Jafntefli</t>
  </si>
  <si>
    <t>Tap</t>
  </si>
  <si>
    <t>Mörk skoruð</t>
  </si>
  <si>
    <t>Mörk fengin á sig</t>
  </si>
  <si>
    <t>Stig</t>
  </si>
  <si>
    <t>Annað sæti</t>
  </si>
  <si>
    <t>Riðill A</t>
  </si>
  <si>
    <t>Riðill B</t>
  </si>
  <si>
    <t>Riðill C</t>
  </si>
  <si>
    <t>Riðill D</t>
  </si>
  <si>
    <t>Riðill E</t>
  </si>
  <si>
    <t>Riðill F</t>
  </si>
  <si>
    <t>Riðill G</t>
  </si>
  <si>
    <t>Riðill H</t>
  </si>
  <si>
    <t>Sigurvegari leikur 49</t>
  </si>
  <si>
    <t>Sigurvegari leikur 50</t>
  </si>
  <si>
    <t>Sigurvegari leikur 51</t>
  </si>
  <si>
    <t>Sigurvegari leikur 52</t>
  </si>
  <si>
    <t>Taplið leikur 61</t>
  </si>
  <si>
    <t>Taplið leikur 62</t>
  </si>
  <si>
    <t>Linguaggio</t>
  </si>
  <si>
    <t>Fuso orario</t>
  </si>
  <si>
    <t>Fase a gruppi</t>
  </si>
  <si>
    <t>Classifica</t>
  </si>
  <si>
    <t>Nazione</t>
  </si>
  <si>
    <t>Risultato</t>
  </si>
  <si>
    <t>Ora</t>
  </si>
  <si>
    <t>Finale per il terzo posto</t>
  </si>
  <si>
    <t>Qualificato</t>
  </si>
  <si>
    <t>Tempo regolamentare</t>
  </si>
  <si>
    <t>Tempo supplementare</t>
  </si>
  <si>
    <t>Rigori</t>
  </si>
  <si>
    <t>Campione</t>
  </si>
  <si>
    <t>Partita n°</t>
  </si>
  <si>
    <t>Vincitore gruppo A</t>
  </si>
  <si>
    <t>Vincitore gruppo B</t>
  </si>
  <si>
    <t>Vincitore gruppo C</t>
  </si>
  <si>
    <t>Vincitore gruppo D</t>
  </si>
  <si>
    <t>Vincitore gruppo E</t>
  </si>
  <si>
    <t>Vincitore gruppo F</t>
  </si>
  <si>
    <t>Vincitore gruppo G</t>
  </si>
  <si>
    <t>Vincitore gruppo H</t>
  </si>
  <si>
    <t>Seconda gruppo A</t>
  </si>
  <si>
    <t>Seconda gruppo B</t>
  </si>
  <si>
    <t>Seconda gruppo C</t>
  </si>
  <si>
    <t>Seconda gruppo D</t>
  </si>
  <si>
    <t>Seconda gruppo E</t>
  </si>
  <si>
    <t>Seconda gruppo F</t>
  </si>
  <si>
    <t>Seconda gruppo G</t>
  </si>
  <si>
    <t>Seconda gruppo H</t>
  </si>
  <si>
    <t>Vincitore partita 53</t>
  </si>
  <si>
    <t>Vincitore partita 54</t>
  </si>
  <si>
    <t>Vincitore partita 55</t>
  </si>
  <si>
    <t>Vincitore partita 56</t>
  </si>
  <si>
    <t>Vincitore partita 57</t>
  </si>
  <si>
    <t>Vincitore partita 58</t>
  </si>
  <si>
    <t>Vincitore partita 59</t>
  </si>
  <si>
    <t>Vincitore partita 60</t>
  </si>
  <si>
    <t>Vincitore partita 61</t>
  </si>
  <si>
    <t>Vincitore partita 62</t>
  </si>
  <si>
    <t>Vincitore partita 63</t>
  </si>
  <si>
    <t>Vincitore partita 64</t>
  </si>
  <si>
    <t>Giocate</t>
  </si>
  <si>
    <t>Vinte</t>
  </si>
  <si>
    <t>Pareggiate</t>
  </si>
  <si>
    <t>Perse</t>
  </si>
  <si>
    <t>Goal segnati</t>
  </si>
  <si>
    <t>Goal subiti</t>
  </si>
  <si>
    <t>Punti</t>
  </si>
  <si>
    <t>Vincitore partita 49</t>
  </si>
  <si>
    <t>Vincitore partita 50</t>
  </si>
  <si>
    <t>Vincitore partita 51</t>
  </si>
  <si>
    <t>Vincitore partita 52</t>
  </si>
  <si>
    <t>Perdente partita 61</t>
  </si>
  <si>
    <t>Perdente partita 62</t>
  </si>
  <si>
    <t>Hora</t>
  </si>
  <si>
    <t>90 minutos</t>
  </si>
  <si>
    <t>Prórroga</t>
  </si>
  <si>
    <t>Penaltys</t>
  </si>
  <si>
    <t>Primero Grupo D</t>
  </si>
  <si>
    <t>Primero Grupo E</t>
  </si>
  <si>
    <t>Primero Grupo F</t>
  </si>
  <si>
    <t>Primero Grupo G</t>
  </si>
  <si>
    <t>Primero Grupo H</t>
  </si>
  <si>
    <t>Segundo Grupo B</t>
  </si>
  <si>
    <t>Segundo Grupo C</t>
  </si>
  <si>
    <t>Segundo Grupo D</t>
  </si>
  <si>
    <t>Segundo Grupo E</t>
  </si>
  <si>
    <t>Segundo Grupo F</t>
  </si>
  <si>
    <t>Segundo Grupo G</t>
  </si>
  <si>
    <t>Segundo Grupo H</t>
  </si>
  <si>
    <t>Ganador partido 53</t>
  </si>
  <si>
    <t>Ganador partido 54</t>
  </si>
  <si>
    <t>Ganador partido 55</t>
  </si>
  <si>
    <t>Ganador partido 56</t>
  </si>
  <si>
    <t>Ganador partido 57</t>
  </si>
  <si>
    <t>Ganador partido 58</t>
  </si>
  <si>
    <t>Ganador partido 59</t>
  </si>
  <si>
    <t>Ganador partido 60</t>
  </si>
  <si>
    <t>Ganador partido 61</t>
  </si>
  <si>
    <t>Ganador partido 62</t>
  </si>
  <si>
    <t>Ganador partido 63</t>
  </si>
  <si>
    <t>Jugados</t>
  </si>
  <si>
    <t>Puntos</t>
  </si>
  <si>
    <t>Segunda puesto</t>
  </si>
  <si>
    <t>Ganador partido 49</t>
  </si>
  <si>
    <t>Ganador partido 50</t>
  </si>
  <si>
    <t>Ganador partido 51</t>
  </si>
  <si>
    <t>Ganador partido 52</t>
  </si>
  <si>
    <t>Corea del Sur</t>
  </si>
  <si>
    <t>Primero Grupo A</t>
  </si>
  <si>
    <t>Primero Grupo B</t>
  </si>
  <si>
    <t>Primero Grupo C</t>
  </si>
  <si>
    <t>Segundo Grupo A</t>
  </si>
  <si>
    <t>Gruppspel</t>
  </si>
  <si>
    <t>Ställning</t>
  </si>
  <si>
    <t>Resultat</t>
  </si>
  <si>
    <t>Åttondelsfinaler</t>
  </si>
  <si>
    <t>Bronsmatch</t>
  </si>
  <si>
    <t>Full tid</t>
  </si>
  <si>
    <t>Straffläggning</t>
  </si>
  <si>
    <t>Mästare</t>
  </si>
  <si>
    <t>Matchnr</t>
  </si>
  <si>
    <t>Vinnare grupp A</t>
  </si>
  <si>
    <t>Vinnare grupp B</t>
  </si>
  <si>
    <t>Vinnare grupp C</t>
  </si>
  <si>
    <t>Vinnare grupp D</t>
  </si>
  <si>
    <t>Vinnare grupp E</t>
  </si>
  <si>
    <t>Vinnare grupp F</t>
  </si>
  <si>
    <t>Vinnare grupp G</t>
  </si>
  <si>
    <t>Vinnare grupp H</t>
  </si>
  <si>
    <t>Tvåa grupp A</t>
  </si>
  <si>
    <t>Tvåa grupp B</t>
  </si>
  <si>
    <t>Tvåa grupp C</t>
  </si>
  <si>
    <t>Tvåa grupp D</t>
  </si>
  <si>
    <t>Tvåa grupp E</t>
  </si>
  <si>
    <t>Tvåa grupp F</t>
  </si>
  <si>
    <t>Tvåa grupp G</t>
  </si>
  <si>
    <t>Tvåa grupp H</t>
  </si>
  <si>
    <t>Vinnare match 53</t>
  </si>
  <si>
    <t>Vinnare match 54</t>
  </si>
  <si>
    <t>Vinnare match 55</t>
  </si>
  <si>
    <t>Vinnare match 56</t>
  </si>
  <si>
    <t>Vinnare match 57</t>
  </si>
  <si>
    <t>Vinnare match 58</t>
  </si>
  <si>
    <t>Vinnare match 59</t>
  </si>
  <si>
    <t>Vinnare match 60</t>
  </si>
  <si>
    <t>Vinnare match 61</t>
  </si>
  <si>
    <t>Vinnare match 62</t>
  </si>
  <si>
    <t>Vinnare match 63</t>
  </si>
  <si>
    <t>Vinnare match 64</t>
  </si>
  <si>
    <t>Vinnare match 49</t>
  </si>
  <si>
    <t>Vinnare match 50</t>
  </si>
  <si>
    <t>Vinnare match 51</t>
  </si>
  <si>
    <t>Vinnare match 52</t>
  </si>
  <si>
    <t>Förlorare match 61</t>
  </si>
  <si>
    <t>Förlorare match 62</t>
  </si>
  <si>
    <t>Visit exceltemplate.net for more templates and updates</t>
  </si>
  <si>
    <t>Played</t>
  </si>
  <si>
    <t>Draw</t>
  </si>
  <si>
    <t>Lose</t>
  </si>
  <si>
    <t>Goal scored for</t>
  </si>
  <si>
    <t>Match 49 Winnaar</t>
  </si>
  <si>
    <t>Match 50 Winnaar</t>
  </si>
  <si>
    <t>Match 51 Winnaar</t>
  </si>
  <si>
    <t>Match 52 Winnaar</t>
  </si>
  <si>
    <t>Носител на срещата 49</t>
  </si>
  <si>
    <t>Носител на срещата 50</t>
  </si>
  <si>
    <t>Носител на срещата 51</t>
  </si>
  <si>
    <t>Носител на срещата 52</t>
  </si>
  <si>
    <t>Мачът 61 Loser</t>
  </si>
  <si>
    <t>Мачът 62 Loser</t>
  </si>
  <si>
    <t>Pemenang Pertandingan 49</t>
  </si>
  <si>
    <t>Pemenang Pertandingan 50</t>
  </si>
  <si>
    <t>Pemenang Pertandingan 51</t>
  </si>
  <si>
    <t>Pemenang Pertandingan 52</t>
  </si>
  <si>
    <t>Guanyador Partit 49</t>
  </si>
  <si>
    <t>Guanyador Partit 50</t>
  </si>
  <si>
    <t>Guanyador del partit 51</t>
  </si>
  <si>
    <t>Guanyador del partit 52</t>
  </si>
  <si>
    <t>Perdedor partit 61</t>
  </si>
  <si>
    <t>Perdedor partit 62</t>
  </si>
  <si>
    <t>Match Winner 49</t>
  </si>
  <si>
    <t>Winner Match 50</t>
  </si>
  <si>
    <t>Match Winner 51</t>
  </si>
  <si>
    <t>Match Winner 52</t>
  </si>
  <si>
    <t>Match 61 Gubitnik</t>
  </si>
  <si>
    <t>Match 62 Gubitnik</t>
  </si>
  <si>
    <t>Ottelun 49 voittaja</t>
  </si>
  <si>
    <t>Ottelun 50 voittaja</t>
  </si>
  <si>
    <t>Ottelun 51 voittaja</t>
  </si>
  <si>
    <t>Ottelun 52 voittaja</t>
  </si>
  <si>
    <t>2º Classificado Grupo C</t>
  </si>
  <si>
    <t>2º Classificado Grupo D</t>
  </si>
  <si>
    <t>2º Classificado Grupo E</t>
  </si>
  <si>
    <t>2º Classificado Grupo F</t>
  </si>
  <si>
    <t>2º Classificado Grupo G</t>
  </si>
  <si>
    <t>2º Classificado Grupo H</t>
  </si>
  <si>
    <t>Vencedor Jogo 57</t>
  </si>
  <si>
    <t>Vencedor Jogo 58</t>
  </si>
  <si>
    <t>Vencedor Jogo 59</t>
  </si>
  <si>
    <t>Vencedor Jogo 60</t>
  </si>
  <si>
    <t>Vencedor Jogo 61</t>
  </si>
  <si>
    <t>Vencedor Jogo 62</t>
  </si>
  <si>
    <t>Vencedor Jogo 63</t>
  </si>
  <si>
    <t>Vencedor Jogo 64</t>
  </si>
  <si>
    <t>Vencedor do Grupo F</t>
  </si>
  <si>
    <t>Vencedor do Grupo G</t>
  </si>
  <si>
    <t>Vencedor do Grupo H</t>
  </si>
  <si>
    <t>Vencedor Jogo 53</t>
  </si>
  <si>
    <t>Vencedor Jogo 54</t>
  </si>
  <si>
    <t>Vencedor Jogo 55</t>
  </si>
  <si>
    <t>Vencedor Jogo 56</t>
  </si>
  <si>
    <t>Visite exceltemplate.net para modelos mais e atualizações</t>
  </si>
  <si>
    <t>Jogado</t>
  </si>
  <si>
    <t>Grupo A</t>
  </si>
  <si>
    <t>Grupo B</t>
  </si>
  <si>
    <t>Grupo C</t>
  </si>
  <si>
    <t>Grupo D</t>
  </si>
  <si>
    <t>Grupo E</t>
  </si>
  <si>
    <t>Grupo F</t>
  </si>
  <si>
    <t>Grupo G</t>
  </si>
  <si>
    <t>Grupo H</t>
  </si>
  <si>
    <t>Vizitaţi exceltemplate.net pentru mai multe template-uri şi actualizări</t>
  </si>
  <si>
    <t>Grupa A</t>
  </si>
  <si>
    <t>Матч #</t>
  </si>
  <si>
    <t>Победитель группы B</t>
  </si>
  <si>
    <t>Победитель группы С</t>
  </si>
  <si>
    <t>Победитель группы D</t>
  </si>
  <si>
    <t>Победитель группы E</t>
  </si>
  <si>
    <t>Победитель группы F</t>
  </si>
  <si>
    <t>Победитель матча 53</t>
  </si>
  <si>
    <t>Победитель матча 54</t>
  </si>
  <si>
    <t>Победитель матча 55</t>
  </si>
  <si>
    <t>Победитель матча 56</t>
  </si>
  <si>
    <t>Победитель матча 57</t>
  </si>
  <si>
    <t>Победитель матча 58</t>
  </si>
  <si>
    <t>Победитель матча 59</t>
  </si>
  <si>
    <t>Победитель матча 60</t>
  </si>
  <si>
    <t>Победитель матча 61</t>
  </si>
  <si>
    <t>Победитель матча 62</t>
  </si>
  <si>
    <t>Победитель матча 63</t>
  </si>
  <si>
    <t>Победитель матча 64</t>
  </si>
  <si>
    <t>Посетите exceltemplate.net Дополнительные шаблоны и обновления</t>
  </si>
  <si>
    <t>Сыграно</t>
  </si>
  <si>
    <t>Второе место</t>
  </si>
  <si>
    <t>Группа A</t>
  </si>
  <si>
    <t>Группа B</t>
  </si>
  <si>
    <t>Группа C</t>
  </si>
  <si>
    <t>Группа D</t>
  </si>
  <si>
    <t>Группа E</t>
  </si>
  <si>
    <t>Группа F</t>
  </si>
  <si>
    <t>Группа G</t>
  </si>
  <si>
    <t>Группа H</t>
  </si>
  <si>
    <t>Одговара #</t>
  </si>
  <si>
    <t>Група меча</t>
  </si>
  <si>
    <t>Група Б меча</t>
  </si>
  <si>
    <t>Група Ц меча</t>
  </si>
  <si>
    <t>Група Д меча</t>
  </si>
  <si>
    <t>Група Е меча</t>
  </si>
  <si>
    <t>Група Ф меча</t>
  </si>
  <si>
    <t>Група Г меча</t>
  </si>
  <si>
    <t>Група Х меча</t>
  </si>
  <si>
    <t>Група виљушкари Горе</t>
  </si>
  <si>
    <t>Група Б виљушкари Горе</t>
  </si>
  <si>
    <t>Група Ц виљушкари Горе</t>
  </si>
  <si>
    <t>Група Д виљушкари Горе</t>
  </si>
  <si>
    <t>Група Е виљушкари Горе</t>
  </si>
  <si>
    <t>Група Ф виљушкари Горе</t>
  </si>
  <si>
    <t>Група Г виљушкари Горе</t>
  </si>
  <si>
    <t>Група Х виљушкари Горе</t>
  </si>
  <si>
    <t>Победник меча 53</t>
  </si>
  <si>
    <t>Победник меча 54</t>
  </si>
  <si>
    <t>Победник меча 55</t>
  </si>
  <si>
    <t>Победник меча 56</t>
  </si>
  <si>
    <t>Победник меча 57</t>
  </si>
  <si>
    <t>Победник меча 58</t>
  </si>
  <si>
    <t>Победник меча 59</t>
  </si>
  <si>
    <t>Победник меча 60</t>
  </si>
  <si>
    <t>Победник меча 61</t>
  </si>
  <si>
    <t>Победник меча 62</t>
  </si>
  <si>
    <t>Победник меча 63</t>
  </si>
  <si>
    <t>Победник меча 64</t>
  </si>
  <si>
    <t>Посетите ексцелтемплате.нет за више предложака и допуне</t>
  </si>
  <si>
    <t>Одиграно</t>
  </si>
  <si>
    <t>Извлачење</t>
  </si>
  <si>
    <t>Изгубити</t>
  </si>
  <si>
    <t>Постигао гол за</t>
  </si>
  <si>
    <t>Постигао гол против</t>
  </si>
  <si>
    <t>Тачка</t>
  </si>
  <si>
    <t>Другом месту</t>
  </si>
  <si>
    <t>Група Б</t>
  </si>
  <si>
    <t>Група Ц</t>
  </si>
  <si>
    <t>Група Д</t>
  </si>
  <si>
    <t>Група Е</t>
  </si>
  <si>
    <t>Група Ф</t>
  </si>
  <si>
    <t>Група Г</t>
  </si>
  <si>
    <t>Група Х</t>
  </si>
  <si>
    <t>Skupina D Zmagovalec</t>
  </si>
  <si>
    <t>Skupina B Runner Up</t>
  </si>
  <si>
    <t>Skupina C Runner Up</t>
  </si>
  <si>
    <t>Skupina D Runner Up</t>
  </si>
  <si>
    <t>Skupina E Runner Up</t>
  </si>
  <si>
    <t>Skupina F Runner Up</t>
  </si>
  <si>
    <t>Skupina G Runner Up</t>
  </si>
  <si>
    <t>Skupina H Runner Up</t>
  </si>
  <si>
    <t>Obiščite exceltemplate.net za več predlog in posodobitve</t>
  </si>
  <si>
    <t>Skupina B</t>
  </si>
  <si>
    <t>Skupina C</t>
  </si>
  <si>
    <t>Skupina D</t>
  </si>
  <si>
    <t>Skupina E</t>
  </si>
  <si>
    <t>Skupina F</t>
  </si>
  <si>
    <t>Skupina G</t>
  </si>
  <si>
    <t>Skupina H</t>
  </si>
  <si>
    <t>Exceltemplate.net ดู แม่ แบบ เพิ่มเติม และ ปรับปรุง</t>
  </si>
  <si>
    <t>กลุ่ม E</t>
  </si>
  <si>
    <t>Ganador del partido 64</t>
  </si>
  <si>
    <t>Visita exceltemplate.net para las plantillas más y actualizaciones</t>
  </si>
  <si>
    <t>Maç 53 Galibi</t>
  </si>
  <si>
    <t>Maç 54 Galibi</t>
  </si>
  <si>
    <t>Maç 55 Galibi</t>
  </si>
  <si>
    <t>Maç 56 Galibi</t>
  </si>
  <si>
    <t>Maç 57 Galibi</t>
  </si>
  <si>
    <t>Maç 58 Galibi</t>
  </si>
  <si>
    <t>Maç 59 Galibi</t>
  </si>
  <si>
    <t>Maç 60 Galibi</t>
  </si>
  <si>
    <t>Maç 61 Galibi</t>
  </si>
  <si>
    <t>Maç 62 Galibi</t>
  </si>
  <si>
    <t>Maç 63 Galibi</t>
  </si>
  <si>
    <t>Maç 64 Galibi</t>
  </si>
  <si>
    <t>Daha fazla şablon ve güncellemeler için Visit exceltemplate.net</t>
  </si>
  <si>
    <t>Khám exceltemplate.net cho mẫu nhiều hơn và cập nhật</t>
  </si>
  <si>
    <t>Điểm</t>
  </si>
  <si>
    <t>Bảng A</t>
  </si>
  <si>
    <t>Bảng B</t>
  </si>
  <si>
    <t>Bảng C</t>
  </si>
  <si>
    <t>Bảng D</t>
  </si>
  <si>
    <t>Bảng E</t>
  </si>
  <si>
    <t>Bảng F</t>
  </si>
  <si>
    <t>Bảng G</t>
  </si>
  <si>
    <t>Bảng H</t>
  </si>
  <si>
    <t>Pertandingan #</t>
  </si>
  <si>
    <t>Pemenang Grup A</t>
  </si>
  <si>
    <t>Pemenang Grup B</t>
  </si>
  <si>
    <t>Pemenang Grup C</t>
  </si>
  <si>
    <t>Pemenang Grup D</t>
  </si>
  <si>
    <t>Pemenang Grup F</t>
  </si>
  <si>
    <t>Pemenang Grup G</t>
  </si>
  <si>
    <t>Pemenang Grup H</t>
  </si>
  <si>
    <t>Pemenang Grup E</t>
  </si>
  <si>
    <t>Runner Up Grup A</t>
  </si>
  <si>
    <t>Runner Up Grup B</t>
  </si>
  <si>
    <t>Runner Up Grup C</t>
  </si>
  <si>
    <t>Runner Up Grup D</t>
  </si>
  <si>
    <t>Runner Up Grup E</t>
  </si>
  <si>
    <t>Runner Up Grup F</t>
  </si>
  <si>
    <t>Runner Up Grup G</t>
  </si>
  <si>
    <t>Runner Up Grup H</t>
  </si>
  <si>
    <t>Pemenang Pertandingan 53</t>
  </si>
  <si>
    <t>Pemenang Pertandingan 54</t>
  </si>
  <si>
    <t>Pemenang Pertandingan 55</t>
  </si>
  <si>
    <t>Pemenang Pertandingan 56</t>
  </si>
  <si>
    <t>Pemenang Pertandingan 57</t>
  </si>
  <si>
    <t>Pemenang Pertandingan 58</t>
  </si>
  <si>
    <t>Pemenang Pertandingan 59</t>
  </si>
  <si>
    <t>Pemenang Pertandingan 60</t>
  </si>
  <si>
    <t>Pemenang Pertandingan 61</t>
  </si>
  <si>
    <t>Pemenang Pertandingan 62</t>
  </si>
  <si>
    <t>Pemenang Pertandingan 63</t>
  </si>
  <si>
    <t>Pemenang Pertandingan 64</t>
  </si>
  <si>
    <t>Kunjungi exceltemplate.net untuk template dan update terbaru</t>
  </si>
  <si>
    <t>Main</t>
  </si>
  <si>
    <t>Menang</t>
  </si>
  <si>
    <t>Win</t>
  </si>
  <si>
    <t>Seri</t>
  </si>
  <si>
    <t>Kemasukan</t>
  </si>
  <si>
    <t>Memasukan</t>
  </si>
  <si>
    <t>Nilai</t>
  </si>
  <si>
    <t>Tempat kedua</t>
  </si>
  <si>
    <t>Wen</t>
  </si>
  <si>
    <t>Спечели</t>
  </si>
  <si>
    <t>pobjeda</t>
  </si>
  <si>
    <t>勝つ</t>
  </si>
  <si>
    <t>승리</t>
  </si>
  <si>
    <t>laimėjimas</t>
  </si>
  <si>
    <t>Уин</t>
  </si>
  <si>
    <t>Date</t>
  </si>
  <si>
    <t>Time</t>
  </si>
  <si>
    <t>-</t>
  </si>
  <si>
    <t>Switzerland</t>
  </si>
  <si>
    <t>Portugal</t>
  </si>
  <si>
    <t>Germany</t>
  </si>
  <si>
    <t>Netherlands</t>
  </si>
  <si>
    <t>Spain</t>
  </si>
  <si>
    <t>Greece</t>
  </si>
  <si>
    <t>Italy</t>
  </si>
  <si>
    <t>France</t>
  </si>
  <si>
    <t>Group A</t>
  </si>
  <si>
    <t>W</t>
  </si>
  <si>
    <t>D</t>
  </si>
  <si>
    <t>L</t>
  </si>
  <si>
    <t>F - A</t>
  </si>
  <si>
    <t>Group B</t>
  </si>
  <si>
    <t>Group C</t>
  </si>
  <si>
    <t>Group D</t>
  </si>
  <si>
    <t>F</t>
  </si>
  <si>
    <t>A</t>
  </si>
  <si>
    <t>Country</t>
  </si>
  <si>
    <t>Swiss</t>
  </si>
  <si>
    <t>English</t>
  </si>
  <si>
    <t>Jerman</t>
  </si>
  <si>
    <t>Belanda</t>
  </si>
  <si>
    <t>Italia</t>
  </si>
  <si>
    <t>Perancis</t>
  </si>
  <si>
    <t>Spanyol</t>
  </si>
  <si>
    <t>Yunani</t>
  </si>
  <si>
    <t>:</t>
  </si>
  <si>
    <t>Suisse</t>
  </si>
  <si>
    <t>Allemagne</t>
  </si>
  <si>
    <t>Italie</t>
  </si>
  <si>
    <t>Pays-Bas</t>
  </si>
  <si>
    <t>Besoek exceltemplate.net vir meer voorbeelde en updates</t>
  </si>
  <si>
    <t>Gespeel</t>
  </si>
  <si>
    <t>Trek</t>
  </si>
  <si>
    <t>Verloor</t>
  </si>
  <si>
    <t>Doel behaal vir</t>
  </si>
  <si>
    <t>Doel aangeteken teen</t>
  </si>
  <si>
    <t>Punt</t>
  </si>
  <si>
    <t>Tweede plek</t>
  </si>
  <si>
    <t>Country Language</t>
  </si>
  <si>
    <t>Exceltemplate.net Vizitoni për templates më shumë dhe më të reja</t>
  </si>
  <si>
    <t>Vendi i dytë</t>
  </si>
  <si>
    <t>Groep A</t>
  </si>
  <si>
    <t>Groep B</t>
  </si>
  <si>
    <t>Groep C</t>
  </si>
  <si>
    <t>Groep D</t>
  </si>
  <si>
    <t>Groep E</t>
  </si>
  <si>
    <t>Groep F</t>
  </si>
  <si>
    <t>Groep G</t>
  </si>
  <si>
    <t>Groep H</t>
  </si>
  <si>
    <t>Grupi A</t>
  </si>
  <si>
    <t>Grupi B</t>
  </si>
  <si>
    <t>Grupi C</t>
  </si>
  <si>
    <t>Grupi D</t>
  </si>
  <si>
    <t>Grupi E</t>
  </si>
  <si>
    <t>Grupi F</t>
  </si>
  <si>
    <t>Grupi G</t>
  </si>
  <si>
    <t>Grupi H</t>
  </si>
  <si>
    <t>زيارة exceltemplate.net لمزيد من القوالب والتحديثات</t>
  </si>
  <si>
    <t>Мачът #</t>
  </si>
  <si>
    <t>Победител от група А</t>
  </si>
  <si>
    <t>Победител Група B</t>
  </si>
  <si>
    <t>Победител Група C</t>
  </si>
  <si>
    <t>Победител Група D</t>
  </si>
  <si>
    <t>Група E Победител</t>
  </si>
  <si>
    <t>Група "F" Победител</t>
  </si>
  <si>
    <t>Група "G" Победител</t>
  </si>
  <si>
    <t>Група H Победител</t>
  </si>
  <si>
    <t>Група А Второ място</t>
  </si>
  <si>
    <t>Група B Второ място</t>
  </si>
  <si>
    <t>Група C Второ място</t>
  </si>
  <si>
    <t>Група D Второ място</t>
  </si>
  <si>
    <t>Група E Второ място</t>
  </si>
  <si>
    <t>Група "F" Второ място</t>
  </si>
  <si>
    <t>Група "G" Второ място</t>
  </si>
  <si>
    <t>Група H Второ място</t>
  </si>
  <si>
    <t>Носител на срещата 53</t>
  </si>
  <si>
    <t>Носител на срещата 54</t>
  </si>
  <si>
    <t>Носител на срещата 55</t>
  </si>
  <si>
    <t>Носител на срещата 56</t>
  </si>
  <si>
    <t>Носител на срещата 57</t>
  </si>
  <si>
    <t>Носител на срещата 58</t>
  </si>
  <si>
    <t>Носител на срещата 59</t>
  </si>
  <si>
    <t>Носител на срещата 60</t>
  </si>
  <si>
    <t>Носител на срещата 61</t>
  </si>
  <si>
    <t>Носител на срещата 62</t>
  </si>
  <si>
    <t>Носител на срещата 63</t>
  </si>
  <si>
    <t>Носител на срещата 64</t>
  </si>
  <si>
    <t>Посетете exceltemplate.net за повече шаблони и актуализации</t>
  </si>
  <si>
    <t>Играна</t>
  </si>
  <si>
    <t>Рисувам</t>
  </si>
  <si>
    <t>Губя</t>
  </si>
  <si>
    <t>Гол вкара за</t>
  </si>
  <si>
    <t>Гол вкара срещу</t>
  </si>
  <si>
    <t>Точка</t>
  </si>
  <si>
    <t>Група А</t>
  </si>
  <si>
    <t>Група B</t>
  </si>
  <si>
    <t>Група C</t>
  </si>
  <si>
    <t>Група D</t>
  </si>
  <si>
    <t>Група E</t>
  </si>
  <si>
    <t>Група "F"</t>
  </si>
  <si>
    <t>Група "G"</t>
  </si>
  <si>
    <t>Група H</t>
  </si>
  <si>
    <t>Guanyador del Grup A</t>
  </si>
  <si>
    <t>Guanyador del Grup B</t>
  </si>
  <si>
    <t>Guanyador del Grup C</t>
  </si>
  <si>
    <t>Guanyador del Grup D</t>
  </si>
  <si>
    <t>Guanyador del Grup E</t>
  </si>
  <si>
    <t>Guanyador del Grup F</t>
  </si>
  <si>
    <t>Guanyador del Grup G</t>
  </si>
  <si>
    <t>Guanyador del Grup H</t>
  </si>
  <si>
    <t>Subcampió del Grup A</t>
  </si>
  <si>
    <t>Subcampió del Grup B</t>
  </si>
  <si>
    <t>Subcampió del Grup C</t>
  </si>
  <si>
    <t>Subcampió del Grup D</t>
  </si>
  <si>
    <t>Subcampió del Grup E</t>
  </si>
  <si>
    <t>Subcampió del Grup F</t>
  </si>
  <si>
    <t>Subcampió del Grup G</t>
  </si>
  <si>
    <t>Subcampió del Grup H</t>
  </si>
  <si>
    <t>Guanyador del partit 53</t>
  </si>
  <si>
    <t>Guanyador del partit 54</t>
  </si>
  <si>
    <t>Guanyador del partit 55</t>
  </si>
  <si>
    <t>Guanyador del partit 56</t>
  </si>
  <si>
    <t>Guanyador del partit 57</t>
  </si>
  <si>
    <t>Guanyador del partit 58</t>
  </si>
  <si>
    <t>Guanyador del partit 59</t>
  </si>
  <si>
    <t>Guanyador del partit 60</t>
  </si>
  <si>
    <t>Guanyador del partit 61</t>
  </si>
  <si>
    <t>Guanyador del partit 62</t>
  </si>
  <si>
    <t>Guanyador del partit 63</t>
  </si>
  <si>
    <t>Guanyador del partit 64</t>
  </si>
  <si>
    <t>Visita exceltemplate.net per a les plantilles més i actualitzacions</t>
  </si>
  <si>
    <t>Jugat</t>
  </si>
  <si>
    <t>Dibuixar</t>
  </si>
  <si>
    <t>Perdre</t>
  </si>
  <si>
    <t>Gol anotat per</t>
  </si>
  <si>
    <t>Gol en contra de</t>
  </si>
  <si>
    <t>El segon lloc</t>
  </si>
  <si>
    <t>Grup A</t>
  </si>
  <si>
    <t>Grup B</t>
  </si>
  <si>
    <t>Grup C</t>
  </si>
  <si>
    <t>Grup D</t>
  </si>
  <si>
    <t>Grup E</t>
  </si>
  <si>
    <t>Grup F</t>
  </si>
  <si>
    <t>Grup G</t>
  </si>
  <si>
    <t>Grup H</t>
  </si>
  <si>
    <t>访问exceltemplate.net更多的模板和更新</t>
  </si>
  <si>
    <t>第二位</t>
  </si>
  <si>
    <t>Utakmica #</t>
  </si>
  <si>
    <t>Grupa Winner</t>
  </si>
  <si>
    <t>Winner Group B</t>
  </si>
  <si>
    <t>Grupa C Winner</t>
  </si>
  <si>
    <t>Grupa D Winner</t>
  </si>
  <si>
    <t>Grupa E Winner</t>
  </si>
  <si>
    <t>Grupa F Pobjednik</t>
  </si>
  <si>
    <t>Grupa G Pobjednik</t>
  </si>
  <si>
    <t>Grupa H Winner</t>
  </si>
  <si>
    <t>Grupa Runner Up</t>
  </si>
  <si>
    <t>Grupa B Runner Up</t>
  </si>
  <si>
    <t>Grupa C Runner Up</t>
  </si>
  <si>
    <t>Grupa D Runner Up</t>
  </si>
  <si>
    <t>Grupa E Runner Up</t>
  </si>
  <si>
    <t>Grupa F Runner Up</t>
  </si>
  <si>
    <t>Grupa G Runner Up</t>
  </si>
  <si>
    <t>Grupa H Runner Up</t>
  </si>
  <si>
    <t>Match Winner 53</t>
  </si>
  <si>
    <t>Match Winner 54</t>
  </si>
  <si>
    <t>Match Winner 55</t>
  </si>
  <si>
    <t>Match Winner 56</t>
  </si>
  <si>
    <t>Match Winner 57</t>
  </si>
  <si>
    <t>Match Winner 58</t>
  </si>
  <si>
    <t>Match Winner 59</t>
  </si>
  <si>
    <t>Match Winner 60</t>
  </si>
  <si>
    <t>Match Winner 61</t>
  </si>
  <si>
    <t>Match Winner 62</t>
  </si>
  <si>
    <t>Match Winner 63</t>
  </si>
  <si>
    <t>Match Winner 64</t>
  </si>
  <si>
    <t>Posjetite exceltemplate.net za više predložaka i obnove</t>
  </si>
  <si>
    <t>Crtati</t>
  </si>
  <si>
    <t>Gubiti</t>
  </si>
  <si>
    <t>Pogodak za</t>
  </si>
  <si>
    <t>Gol zabio</t>
  </si>
  <si>
    <t>Drugo mjesto</t>
  </si>
  <si>
    <t>Grupa B</t>
  </si>
  <si>
    <t>Grupa C</t>
  </si>
  <si>
    <t>Grupa D</t>
  </si>
  <si>
    <t>Grupa E</t>
  </si>
  <si>
    <t>Grupa F</t>
  </si>
  <si>
    <t>Grupa G</t>
  </si>
  <si>
    <t>Grupa H</t>
  </si>
  <si>
    <t>Gruppe B Vinder</t>
  </si>
  <si>
    <t>Gruppe C Vinder</t>
  </si>
  <si>
    <t>Gruppe D Vinder</t>
  </si>
  <si>
    <t>Gruppe E Vinder</t>
  </si>
  <si>
    <t>Gruppe F Vinder</t>
  </si>
  <si>
    <t>Gruppe G Vinder</t>
  </si>
  <si>
    <t>Besøg exceltemplate.net for flere skabeloner og opdateringer</t>
  </si>
  <si>
    <t>Mål scoret for</t>
  </si>
  <si>
    <t>Mål scoret imod</t>
  </si>
  <si>
    <t>Gruppe A</t>
  </si>
  <si>
    <t>Gruppe B</t>
  </si>
  <si>
    <t>Gruppe C</t>
  </si>
  <si>
    <t>Gruppe D</t>
  </si>
  <si>
    <t>Gruppe E</t>
  </si>
  <si>
    <t>Gruppe F</t>
  </si>
  <si>
    <t>Gruppe G</t>
  </si>
  <si>
    <t>Gruppe H</t>
  </si>
  <si>
    <t>Bezoek exceltemplate.net voor meer voorbeelden en updates</t>
  </si>
  <si>
    <t>Ottelun 53 voittaja</t>
  </si>
  <si>
    <t>Ottelun 54 voittaja</t>
  </si>
  <si>
    <t>Ottelun 55 voittaja</t>
  </si>
  <si>
    <t>Ottelun 56 voittaja</t>
  </si>
  <si>
    <t>Ottelun 57 voittaja</t>
  </si>
  <si>
    <t>Ottelun 58 voittaja</t>
  </si>
  <si>
    <t>Ottelun 59 voittaja</t>
  </si>
  <si>
    <t>الأورغواي</t>
  </si>
  <si>
    <t>إنكلترا</t>
  </si>
  <si>
    <t>الولايات المتحدة</t>
  </si>
  <si>
    <t>استراليا</t>
  </si>
  <si>
    <t>إيطاليا</t>
  </si>
  <si>
    <t>اسبانيا</t>
  </si>
  <si>
    <t>تشيلي</t>
  </si>
  <si>
    <t>اللغة</t>
  </si>
  <si>
    <t>التوقيت</t>
  </si>
  <si>
    <t>دور المجموعات</t>
  </si>
  <si>
    <t>المباريات</t>
  </si>
  <si>
    <t>ترتيب المجموعات</t>
  </si>
  <si>
    <t>التاريخ</t>
  </si>
  <si>
    <t>الدولة</t>
  </si>
  <si>
    <t>الوقت</t>
  </si>
  <si>
    <t>دور الـ 16</t>
  </si>
  <si>
    <t>الدور ربع النهائي</t>
  </si>
  <si>
    <t>الدور نصف النهائي</t>
  </si>
  <si>
    <t>تحديد المركز الثالث</t>
  </si>
  <si>
    <t>أول المجموعة</t>
  </si>
  <si>
    <t>ثاني المجموعة</t>
  </si>
  <si>
    <t>الوقت الأصلي</t>
  </si>
  <si>
    <t>الوقتين الإضافيين</t>
  </si>
  <si>
    <t>البطل</t>
  </si>
  <si>
    <t>المباراة رقم</t>
  </si>
  <si>
    <t>أول المجموعة A</t>
  </si>
  <si>
    <t>أول المجموعة B</t>
  </si>
  <si>
    <t>أول المجموعة C</t>
  </si>
  <si>
    <t>أول المجموعة D</t>
  </si>
  <si>
    <t>أول المجموعة E</t>
  </si>
  <si>
    <t>أول المجموعة F</t>
  </si>
  <si>
    <t>أول المجموعة G</t>
  </si>
  <si>
    <t>أول المجموعة H</t>
  </si>
  <si>
    <t>ثاني المجموعة A</t>
  </si>
  <si>
    <t>ثاني المجموعة B</t>
  </si>
  <si>
    <t>ثاني المجموعة C</t>
  </si>
  <si>
    <t>ثاني المجموعة D</t>
  </si>
  <si>
    <t>ثاني المجموعة E</t>
  </si>
  <si>
    <t>ثاني المجموعة F</t>
  </si>
  <si>
    <t>ثاني المجموعة G</t>
  </si>
  <si>
    <t>ثاني المجموعة H</t>
  </si>
  <si>
    <t>رابح المباراة 53</t>
  </si>
  <si>
    <t>رابح المباراة 54</t>
  </si>
  <si>
    <t>رابح المباراة 55</t>
  </si>
  <si>
    <t>رابح المباراة 56</t>
  </si>
  <si>
    <t>رابح المباراة 57</t>
  </si>
  <si>
    <t>رابح المباراة 58</t>
  </si>
  <si>
    <t>رابح المباراة 59</t>
  </si>
  <si>
    <t>رابح المباراة 60</t>
  </si>
  <si>
    <t>رابح المباراة 61</t>
  </si>
  <si>
    <t>رابح المباراة 62</t>
  </si>
  <si>
    <t>رابح المباراة 63</t>
  </si>
  <si>
    <t>رابح المباراة 64</t>
  </si>
  <si>
    <t>المركز الثاني</t>
  </si>
  <si>
    <t>المجموعة A</t>
  </si>
  <si>
    <t>المجموعة B</t>
  </si>
  <si>
    <t>المجموعة C</t>
  </si>
  <si>
    <t>المجموعة D</t>
  </si>
  <si>
    <t>المجموعة E</t>
  </si>
  <si>
    <t>المجموعة F</t>
  </si>
  <si>
    <t>المجموعة G</t>
  </si>
  <si>
    <t>المجموعة H</t>
  </si>
  <si>
    <t>رابح المباراة 49</t>
  </si>
  <si>
    <t>رابح المباراة 50</t>
  </si>
  <si>
    <t>رابح المباراة 51</t>
  </si>
  <si>
    <t>رابح المباراة 52</t>
  </si>
  <si>
    <t>خاسر المباراة 61</t>
  </si>
  <si>
    <t>خاسر المباراة 62</t>
  </si>
  <si>
    <t xml:space="preserve">لعب </t>
  </si>
  <si>
    <t xml:space="preserve">فوز </t>
  </si>
  <si>
    <t xml:space="preserve">تعادل </t>
  </si>
  <si>
    <t xml:space="preserve">خسارة </t>
  </si>
  <si>
    <t xml:space="preserve">أهداف له </t>
  </si>
  <si>
    <t xml:space="preserve">أهداف عليه </t>
  </si>
  <si>
    <t xml:space="preserve">النقاط </t>
  </si>
  <si>
    <t>İngiltere</t>
  </si>
  <si>
    <t>Fildişi Sahili</t>
  </si>
  <si>
    <t>Saat Dilimi</t>
  </si>
  <si>
    <t>Grup Aşaması</t>
  </si>
  <si>
    <t>Sıralama</t>
  </si>
  <si>
    <t>Sonuç</t>
  </si>
  <si>
    <t>Saat</t>
  </si>
  <si>
    <t>2. Tur</t>
  </si>
  <si>
    <t>Yarı Final</t>
  </si>
  <si>
    <t>Üçüncülük Maçı</t>
  </si>
  <si>
    <t>Birinci</t>
  </si>
  <si>
    <t>Oitavos de Final</t>
  </si>
  <si>
    <t>Meias Finais</t>
  </si>
  <si>
    <t>Apuramento 3º e 4º Lugar</t>
  </si>
  <si>
    <t>Penáltis</t>
  </si>
  <si>
    <t>รอบแบ่งกลุ่ม</t>
  </si>
  <si>
    <t>กำหนดการแข่งขัน</t>
  </si>
  <si>
    <t>ตารางคะแนน</t>
  </si>
  <si>
    <t>รอบก่อนรองชนะเลิศ</t>
  </si>
  <si>
    <t>ผู้ชนะคู่ที่ 53</t>
  </si>
  <si>
    <t>ผู้ชนะคู่ที่ 54</t>
  </si>
  <si>
    <t>ผู้ชนะคู่ที่ 55</t>
  </si>
  <si>
    <t>ผู้ชนะคู่ที่ 56</t>
  </si>
  <si>
    <t>ผู้ชนะคู่ที่ 57</t>
  </si>
  <si>
    <t>ผู้ชนะคู่ที่ 58</t>
  </si>
  <si>
    <t>ผู้ชนะคู่ที่ 59</t>
  </si>
  <si>
    <t>ผู้ชนะคู่ที่ 60</t>
  </si>
  <si>
    <t>ผู้ชนะคู่ที่ 61</t>
  </si>
  <si>
    <t>ผู้ชนะคู่ที่ 62</t>
  </si>
  <si>
    <t>ผู้ชนะคู่ที่ 63</t>
  </si>
  <si>
    <t>ผู้ชนะคู่ที่ 64</t>
  </si>
  <si>
    <t>ผู้ชนะคู่ที่ 49</t>
  </si>
  <si>
    <t>ผู้ชนะคู่ที่ 50</t>
  </si>
  <si>
    <t>ผู้ชนะคู่ที่ 51</t>
  </si>
  <si>
    <t>ผู้ชนะคู่ที่ 52</t>
  </si>
  <si>
    <t>Macedonian</t>
  </si>
  <si>
    <t>Франција</t>
  </si>
  <si>
    <t>Нигер</t>
  </si>
  <si>
    <t>Грција</t>
  </si>
  <si>
    <t>Англија</t>
  </si>
  <si>
    <t>Германија</t>
  </si>
  <si>
    <t>Австралија</t>
  </si>
  <si>
    <t>Јапонија</t>
  </si>
  <si>
    <t>Брегот на Слоновата Коска</t>
  </si>
  <si>
    <t>Швајцарија</t>
  </si>
  <si>
    <t>Јазик</t>
  </si>
  <si>
    <t>Временска зона</t>
  </si>
  <si>
    <t>Натпревари по групи</t>
  </si>
  <si>
    <t>Натпревари</t>
  </si>
  <si>
    <t>Држава</t>
  </si>
  <si>
    <t>Шеснаесеттина-финале</t>
  </si>
  <si>
    <t>Четврт-финале</t>
  </si>
  <si>
    <t>Меч за трето место</t>
  </si>
  <si>
    <t>Финале</t>
  </si>
  <si>
    <t>Второ место</t>
  </si>
  <si>
    <t>Стандардно време</t>
  </si>
  <si>
    <t>Екстра време</t>
  </si>
  <si>
    <t>Пенали</t>
  </si>
  <si>
    <t>Натпревар #</t>
  </si>
  <si>
    <t>Победник од група  А</t>
  </si>
  <si>
    <t>Победник од група  B</t>
  </si>
  <si>
    <t>Победник од група  C</t>
  </si>
  <si>
    <t>Победник од група  D</t>
  </si>
  <si>
    <t>Победник од група  E</t>
  </si>
  <si>
    <t>Победник од група  F</t>
  </si>
  <si>
    <t>Победник од група  G</t>
  </si>
  <si>
    <t>Победник од група  H</t>
  </si>
  <si>
    <t>Второ место од група A</t>
  </si>
  <si>
    <t>Второ место од група B</t>
  </si>
  <si>
    <t>Второ место од група C</t>
  </si>
  <si>
    <t>Второ место од група D</t>
  </si>
  <si>
    <t>Второ место од група E</t>
  </si>
  <si>
    <t>Второ место од група F</t>
  </si>
  <si>
    <t>Второ место од група G</t>
  </si>
  <si>
    <t>Второ место од група H</t>
  </si>
  <si>
    <t>Победник од меч 53</t>
  </si>
  <si>
    <t>Победник од меч 54</t>
  </si>
  <si>
    <t>Победник од меч 55</t>
  </si>
  <si>
    <t>Победник од меч 56</t>
  </si>
  <si>
    <t>Победник од меч 57</t>
  </si>
  <si>
    <t>Победник од меч 58</t>
  </si>
  <si>
    <t>Победник од меч 59</t>
  </si>
  <si>
    <t>Победник од меч 60</t>
  </si>
  <si>
    <t>Победник од меч 61</t>
  </si>
  <si>
    <t>Победник од меч 62</t>
  </si>
  <si>
    <t>Победник од меч 63</t>
  </si>
  <si>
    <t>Победник од меч 64</t>
  </si>
  <si>
    <t>Изиграни</t>
  </si>
  <si>
    <t>Победени</t>
  </si>
  <si>
    <t>Нерешени</t>
  </si>
  <si>
    <t>Изгубени</t>
  </si>
  <si>
    <t>Голови дадени</t>
  </si>
  <si>
    <t>Голови примени</t>
  </si>
  <si>
    <t>Поени</t>
  </si>
  <si>
    <t>Група В</t>
  </si>
  <si>
    <t>Победник од меч 49</t>
  </si>
  <si>
    <t>Победник од меч 50</t>
  </si>
  <si>
    <t>Победник од меч 51</t>
  </si>
  <si>
    <t>Победник од меч 52</t>
  </si>
  <si>
    <t>Губитник од меч 61</t>
  </si>
  <si>
    <t>Губитник од меч 62</t>
  </si>
  <si>
    <t>резултати по групи</t>
  </si>
  <si>
    <t>Franca</t>
  </si>
  <si>
    <t>Argjentina</t>
  </si>
  <si>
    <t>Korea Jugore</t>
  </si>
  <si>
    <t>Greqia</t>
  </si>
  <si>
    <t>SHBA</t>
  </si>
  <si>
    <t>Algjeria</t>
  </si>
  <si>
    <t>Gjermania</t>
  </si>
  <si>
    <t>Kameruni</t>
  </si>
  <si>
    <t>Bregu I Fildisht</t>
  </si>
  <si>
    <t>Zvicra</t>
  </si>
  <si>
    <t>Hondurasi</t>
  </si>
  <si>
    <t>Zona kohore</t>
  </si>
  <si>
    <t>Faza grupore</t>
  </si>
  <si>
    <t>Ndeshjet</t>
  </si>
  <si>
    <t>Radhitja</t>
  </si>
  <si>
    <t>Grupet</t>
  </si>
  <si>
    <t>16 finalja</t>
  </si>
  <si>
    <t>Çerekfinale</t>
  </si>
  <si>
    <t>Gjysëmfinale</t>
  </si>
  <si>
    <t>Ndeshja për vendin e tretë</t>
  </si>
  <si>
    <t>Finalja</t>
  </si>
  <si>
    <t>Fitues</t>
  </si>
  <si>
    <t>Koha normale</t>
  </si>
  <si>
    <t>Koha shtesë</t>
  </si>
  <si>
    <t>Gjuajtje nga penaltiku</t>
  </si>
  <si>
    <t xml:space="preserve">Ndeshje </t>
  </si>
  <si>
    <t>Fitues i grupit A</t>
  </si>
  <si>
    <t>Fitues i grupit B</t>
  </si>
  <si>
    <t>Fitues i grupit C</t>
  </si>
  <si>
    <t>Fitues i grupit D</t>
  </si>
  <si>
    <t>Fitues i grupit E</t>
  </si>
  <si>
    <t>Fitues i grupit F</t>
  </si>
  <si>
    <t>Fitues i grupit G</t>
  </si>
  <si>
    <t>Fitues i grupit H</t>
  </si>
  <si>
    <t>Vendi i dytë i Grupit A</t>
  </si>
  <si>
    <t>Vendi i dytë i Grupit B</t>
  </si>
  <si>
    <t>Vendi i dytë i Grupit C</t>
  </si>
  <si>
    <t>Vendi i dytë i Grupit D</t>
  </si>
  <si>
    <t>Vendi i dytë i Grupit E</t>
  </si>
  <si>
    <t>Vendi i dytë i Grupit F</t>
  </si>
  <si>
    <t>Vendi i dytë i Grupit G</t>
  </si>
  <si>
    <t>Vendi i dytë i Grupit H</t>
  </si>
  <si>
    <t>Fitues i ndeshjes së 53</t>
  </si>
  <si>
    <t>Fitues i ndeshjes së 54</t>
  </si>
  <si>
    <t>Fitues i ndeshjes së 55</t>
  </si>
  <si>
    <t>Fitues i ndeshjes së 56</t>
  </si>
  <si>
    <t>Fitues i ndeshjes së 57</t>
  </si>
  <si>
    <t>Fitues i ndeshjes së 58</t>
  </si>
  <si>
    <t>Fitues i ndeshjes së 59</t>
  </si>
  <si>
    <t>Fitues i ndeshjes së 60</t>
  </si>
  <si>
    <t>Fitues i ndeshjes së 61</t>
  </si>
  <si>
    <t>Fitues i ndeshjes së 62</t>
  </si>
  <si>
    <t>Fitues i ndeshjes së 63</t>
  </si>
  <si>
    <t>Fitues i ndeshjes së 64</t>
  </si>
  <si>
    <t>Lojë (L)</t>
  </si>
  <si>
    <t>Fitore (F)</t>
  </si>
  <si>
    <t>Barazim (B)</t>
  </si>
  <si>
    <t>Humbje (H)</t>
  </si>
  <si>
    <t>Golat e shënuar</t>
  </si>
  <si>
    <t>Golat e pranuar</t>
  </si>
  <si>
    <t>Pikë</t>
  </si>
  <si>
    <t>Fitues i ndeshjes së 49</t>
  </si>
  <si>
    <t>Fitues i ndeshjes së 50</t>
  </si>
  <si>
    <t>Fitues i ndeshjes së 51</t>
  </si>
  <si>
    <t>Fitues i ndeshjes së 52</t>
  </si>
  <si>
    <t>Humbës i ndeshjes së 61</t>
  </si>
  <si>
    <t>Humbës i ndeshjes së 62</t>
  </si>
  <si>
    <t>Ottavi di finale</t>
  </si>
  <si>
    <t>Победитель группы A</t>
  </si>
  <si>
    <t>Победитель группы G</t>
  </si>
  <si>
    <t>Победитель группы H</t>
  </si>
  <si>
    <t>Maldives</t>
  </si>
  <si>
    <t>މެކްސިކޯ</t>
  </si>
  <si>
    <t>އުރުގުއާއީ</t>
  </si>
  <si>
    <t>ފުރާންސް</t>
  </si>
  <si>
    <t>އާޖެންޓީނާ</t>
  </si>
  <si>
    <t>ނައިޖީރިއާ</t>
  </si>
  <si>
    <t>ސައުތު ކޮރެއާ</t>
  </si>
  <si>
    <t>ގްރީސް</t>
  </si>
  <si>
    <t>އިންގްލޭންޑް</t>
  </si>
  <si>
    <t>ޔޫއެސްއޭ</t>
  </si>
  <si>
    <t>އަލްޖީރިއާ</t>
  </si>
  <si>
    <t>ޖާމަނީ</t>
  </si>
  <si>
    <t>އޮސްޓްރޭލިއާ</t>
  </si>
  <si>
    <t>ގާނާ</t>
  </si>
  <si>
    <t>ނެދަލޭންޑް</t>
  </si>
  <si>
    <t>ޖަޕާން</t>
  </si>
  <si>
    <t>ކެމަރޫން</t>
  </si>
  <si>
    <t>އިޓަލީ</t>
  </si>
  <si>
    <t>ބްރެޒިލް</t>
  </si>
  <si>
    <t>ކޯޓޭ ޑިވޮރ</t>
  </si>
  <si>
    <t>ޕޯޗްގަލް</t>
  </si>
  <si>
    <t>ސްޕޭން</t>
  </si>
  <si>
    <t>ސްވިޒަލޭންޑް</t>
  </si>
  <si>
    <t>ހޮންޑަރަސް</t>
  </si>
  <si>
    <t>ޗިލީ</t>
  </si>
  <si>
    <t>ބަސް</t>
  </si>
  <si>
    <t>ޓައިމް ޒޯން</t>
  </si>
  <si>
    <t>ގްރޫޕް ސްޓޭޖް</t>
  </si>
  <si>
    <t>މެޗް</t>
  </si>
  <si>
    <t>ސްޓޭޑިންގ</t>
  </si>
  <si>
    <t>ގްރޫޕް</t>
  </si>
  <si>
    <t>ތާރީޚް</t>
  </si>
  <si>
    <t>ޤައުމު</t>
  </si>
  <si>
    <t>ސްކޯ</t>
  </si>
  <si>
    <t>ގަޑި</t>
  </si>
  <si>
    <t>ގަދަ 16</t>
  </si>
  <si>
    <t>ގަދަ 4</t>
  </si>
  <si>
    <t>ސެމީ ފައިންލް</t>
  </si>
  <si>
    <t>ތިން ވަނަ ހޮވާ މެޗް</t>
  </si>
  <si>
    <t>ފައިނަލް</t>
  </si>
  <si>
    <t>މޮޅުވި</t>
  </si>
  <si>
    <t>ރަނަރ އަޕް</t>
  </si>
  <si>
    <t>ފުރިހަމަ ވަގުތު</t>
  </si>
  <si>
    <t>އިތުރު ވަގުތު</t>
  </si>
  <si>
    <t>ޕެނަލްޓީ</t>
  </si>
  <si>
    <t>ޗެންޕިއަން</t>
  </si>
  <si>
    <t>މެޗް #</t>
  </si>
  <si>
    <t>ގްރޫޕް އޭ އެއްވަނަ</t>
  </si>
  <si>
    <t>ގްރޫޕް ބީ އެއްވަނަ</t>
  </si>
  <si>
    <t>ގްރޫޕް ސީ އެއްވަނަ</t>
  </si>
  <si>
    <t>ގްރޫޕް ޑީ އެއްވަނަ</t>
  </si>
  <si>
    <t>ގްރޫޕް އީ އެއްވަނަ</t>
  </si>
  <si>
    <t>ގްރޫޕް އެފް އެއްވަނަ</t>
  </si>
  <si>
    <t>ގްރޫޕް ޖީ އެއްވަނަ</t>
  </si>
  <si>
    <t>ގްރޫޕް އެޗް އެއްވަނަ</t>
  </si>
  <si>
    <t>ގްރޫޕް އޭ ދެވަނަ</t>
  </si>
  <si>
    <t>ގްރޫޕް ބީ ދެވަނަ</t>
  </si>
  <si>
    <t>ގްރޫޕް ސީ ދެވަނަ</t>
  </si>
  <si>
    <t>ގްރޫޕް ޑީ ދެވަނަ</t>
  </si>
  <si>
    <t>ގްރޫޕް އީ ދެވަނަ</t>
  </si>
  <si>
    <t>ގްރޫޕް އެފް އދެވަނަ</t>
  </si>
  <si>
    <t>ގްރޫޕް ޖީ ދެވަނަ</t>
  </si>
  <si>
    <t>ގްރޫޕް އެޗް ދެވަނަ</t>
  </si>
  <si>
    <t>މެޗް 53 - މޮޅުވީ</t>
  </si>
  <si>
    <t>މެޗް 54 - މޮޅުވީ</t>
  </si>
  <si>
    <t>މެޗް 55 - މޮޅުވީ</t>
  </si>
  <si>
    <t>މެޗް 56 - މޮޅުވީ</t>
  </si>
  <si>
    <t>މެޗް 57 - މޮޅުވީ</t>
  </si>
  <si>
    <t>މެޗް 58 - މޮޅުވީ</t>
  </si>
  <si>
    <t>މެޗް 59 - މޮޅުވީ</t>
  </si>
  <si>
    <t>މެޗް 60 - މޮޅުވީ</t>
  </si>
  <si>
    <t>މެޗް 61 - މޮޅުވީ</t>
  </si>
  <si>
    <t>މެޗް 62 - މޮޅުވީ</t>
  </si>
  <si>
    <t>މެޗް 63 - މޮޅުވީ</t>
  </si>
  <si>
    <t>މެޗް 64 - މޮޅުވީ</t>
  </si>
  <si>
    <t>ކުޅުނު (ކ)</t>
  </si>
  <si>
    <t>މޮޅުވި (މ)</t>
  </si>
  <si>
    <t>އެއްވަރުވި (އ)</t>
  </si>
  <si>
    <t>ބަލިވި (ބ)</t>
  </si>
  <si>
    <t>ޖެހި ގޯލް (ޖގ)</t>
  </si>
  <si>
    <t>ވަން ގޯލް (ވގ)</t>
  </si>
  <si>
    <t>ޕޮއިންޓް (ޕ)</t>
  </si>
  <si>
    <t>ދެވަނަ މަޤާމް</t>
  </si>
  <si>
    <t>ގްރޫޕް އޭ</t>
  </si>
  <si>
    <t>ގްރޫޕް ބީ</t>
  </si>
  <si>
    <t>ގްރޫޕް ސީ</t>
  </si>
  <si>
    <t>ގްރޫޕް ޑީ</t>
  </si>
  <si>
    <t>ގްރޫޕް އީ</t>
  </si>
  <si>
    <t>ގްރޫޕް އެފް</t>
  </si>
  <si>
    <t>ގްރޫޕް ޖީ</t>
  </si>
  <si>
    <t>ގްރޫޕް އެޗް</t>
  </si>
  <si>
    <t>މެޗް 49 - މޮޅުވި</t>
  </si>
  <si>
    <t>މެޗް 50 - މޮޅުވި</t>
  </si>
  <si>
    <t>މެޗް 51 - މޮޅުވި</t>
  </si>
  <si>
    <t>މެޗް 52 - މޮޅުވި</t>
  </si>
  <si>
    <t>މެޗް 61 - ބަލިވި</t>
  </si>
  <si>
    <t>މެޗް 62 - ބަލިވި</t>
  </si>
  <si>
    <t>Mexique</t>
  </si>
  <si>
    <t>Argentine</t>
  </si>
  <si>
    <t>Nigéria</t>
  </si>
  <si>
    <t>Angleterre</t>
  </si>
  <si>
    <t>Algérie</t>
  </si>
  <si>
    <t>Australie</t>
  </si>
  <si>
    <t>Japon</t>
  </si>
  <si>
    <t>Brésil</t>
  </si>
  <si>
    <t>Côte-d'Ivoire</t>
  </si>
  <si>
    <t>Langue</t>
  </si>
  <si>
    <t>Fuseau horaire</t>
  </si>
  <si>
    <t>Classements</t>
  </si>
  <si>
    <t>Groupe</t>
  </si>
  <si>
    <t>Pays</t>
  </si>
  <si>
    <t>Heure</t>
  </si>
  <si>
    <t>Demi-finales</t>
  </si>
  <si>
    <t>Match pour la troisième place</t>
  </si>
  <si>
    <t>Gagnant</t>
  </si>
  <si>
    <t>Mexiko</t>
  </si>
  <si>
    <t>Argentinien</t>
  </si>
  <si>
    <t>Algerien</t>
  </si>
  <si>
    <t>Niederlande</t>
  </si>
  <si>
    <t>Sprache</t>
  </si>
  <si>
    <t>Zeitzone</t>
  </si>
  <si>
    <t>Spiele</t>
  </si>
  <si>
    <t>Gruppe</t>
  </si>
  <si>
    <t>Ergebnis</t>
  </si>
  <si>
    <t>Viertelfinale</t>
  </si>
  <si>
    <t>Μεξικό</t>
  </si>
  <si>
    <t>Ουρουγουάη</t>
  </si>
  <si>
    <t>Αργεντινή</t>
  </si>
  <si>
    <t>Νιγηρία</t>
  </si>
  <si>
    <t>Ελλάδα</t>
  </si>
  <si>
    <t>Αγγλία</t>
  </si>
  <si>
    <t>ΗΠΑ</t>
  </si>
  <si>
    <t>Αλγερία</t>
  </si>
  <si>
    <t>Αυστραλία</t>
  </si>
  <si>
    <t>Γκάνα</t>
  </si>
  <si>
    <t>Ιαπωνία</t>
  </si>
  <si>
    <t>Καμερούν</t>
  </si>
  <si>
    <t>Βραζιλία</t>
  </si>
  <si>
    <t>Ακτή Ελεφαντοστού</t>
  </si>
  <si>
    <t>Πορτογαλία</t>
  </si>
  <si>
    <t>Ονδούρα</t>
  </si>
  <si>
    <t>Χιλή</t>
  </si>
  <si>
    <t>Γλώσσα</t>
  </si>
  <si>
    <t>Ημερομηνία</t>
  </si>
  <si>
    <t>Χώρα</t>
  </si>
  <si>
    <t>Αποτέλεσμα</t>
  </si>
  <si>
    <t>Γύρος των 16</t>
  </si>
  <si>
    <t>Νικητής</t>
  </si>
  <si>
    <t>Παράταση</t>
  </si>
  <si>
    <t>Πρωταθλητής</t>
  </si>
  <si>
    <t>Mexikó</t>
  </si>
  <si>
    <t>Argentína</t>
  </si>
  <si>
    <t>Algéria</t>
  </si>
  <si>
    <t>Ausztrália</t>
  </si>
  <si>
    <t>Ghána</t>
  </si>
  <si>
    <t>Japán</t>
  </si>
  <si>
    <t>Brazília</t>
  </si>
  <si>
    <t>Elefántcsontpart</t>
  </si>
  <si>
    <t>Nyelv</t>
  </si>
  <si>
    <t>Dátum</t>
  </si>
  <si>
    <t>Ország</t>
  </si>
  <si>
    <t>Legjobb 16</t>
  </si>
  <si>
    <t>Messico</t>
  </si>
  <si>
    <t>Inghilterra</t>
  </si>
  <si>
    <t>Stati Uniti</t>
  </si>
  <si>
    <t>Giappone</t>
  </si>
  <si>
    <t>Brasile</t>
  </si>
  <si>
    <t>Costa d'Avorio</t>
  </si>
  <si>
    <t>Cile</t>
  </si>
  <si>
    <t>Partite</t>
  </si>
  <si>
    <t>Gruppo</t>
  </si>
  <si>
    <t>Tempo</t>
  </si>
  <si>
    <t>Quarti di finale</t>
  </si>
  <si>
    <t>Vincitore</t>
  </si>
  <si>
    <t>Meksika</t>
  </si>
  <si>
    <t>Urugvajus</t>
  </si>
  <si>
    <t>Pietų Korėja</t>
  </si>
  <si>
    <t>Anglija</t>
  </si>
  <si>
    <t>JAV</t>
  </si>
  <si>
    <t>Alžyras</t>
  </si>
  <si>
    <t>Nyderlandai</t>
  </si>
  <si>
    <t>Japonija</t>
  </si>
  <si>
    <t>Kamerūnas</t>
  </si>
  <si>
    <t>Brazilija</t>
  </si>
  <si>
    <t>Dramblio Kaulo Krantas</t>
  </si>
  <si>
    <t>Hondūras</t>
  </si>
  <si>
    <t>Čilė</t>
  </si>
  <si>
    <t>Kalba</t>
  </si>
  <si>
    <t>Grupės etapai</t>
  </si>
  <si>
    <t>Atitikmenys</t>
  </si>
  <si>
    <t>Turnyrinė</t>
  </si>
  <si>
    <t>Grupė</t>
  </si>
  <si>
    <t>Šalis</t>
  </si>
  <si>
    <t>Balas</t>
  </si>
  <si>
    <t>Laikas</t>
  </si>
  <si>
    <t>Pusfinalio</t>
  </si>
  <si>
    <t>Rungtynės dėl trečiosios vietos</t>
  </si>
  <si>
    <t>Galutinė</t>
  </si>
  <si>
    <t>Nugalėtojas</t>
  </si>
  <si>
    <t>Wicemistrz</t>
  </si>
  <si>
    <t>Normalus laikas</t>
  </si>
  <si>
    <t>Bauda prasikalti</t>
  </si>
  <si>
    <t>Jepun</t>
  </si>
  <si>
    <t>Tarikh</t>
  </si>
  <si>
    <t>Messiku</t>
  </si>
  <si>
    <t>Urugwaj</t>
  </si>
  <si>
    <t>Arġentina</t>
  </si>
  <si>
    <t>Niġerja</t>
  </si>
  <si>
    <t>Koreja t'Isfel</t>
  </si>
  <si>
    <t>Ingilterra</t>
  </si>
  <si>
    <t>Alġerija</t>
  </si>
  <si>
    <t>Awstralja</t>
  </si>
  <si>
    <t>Ġappun</t>
  </si>
  <si>
    <t>Brażil</t>
  </si>
  <si>
    <t>Kosta ta 'l-Avorju</t>
  </si>
  <si>
    <t>Portugall</t>
  </si>
  <si>
    <t>Ħonduras</t>
  </si>
  <si>
    <t>Ċili</t>
  </si>
  <si>
    <t>Lingwa</t>
  </si>
  <si>
    <t>Stadji Grupp</t>
  </si>
  <si>
    <t>Sulfarini</t>
  </si>
  <si>
    <t>Grupp</t>
  </si>
  <si>
    <t>Pajjiż</t>
  </si>
  <si>
    <t>Ħin</t>
  </si>
  <si>
    <t>Round ta '16</t>
  </si>
  <si>
    <t>Match għall-Tielet Post</t>
  </si>
  <si>
    <t>Finali</t>
  </si>
  <si>
    <t>Normali Time</t>
  </si>
  <si>
    <t>Piena Shoot Out</t>
  </si>
  <si>
    <t>Meksyk</t>
  </si>
  <si>
    <t>Argentyna</t>
  </si>
  <si>
    <t>Anglia</t>
  </si>
  <si>
    <t>Japonia</t>
  </si>
  <si>
    <t>Brazylia</t>
  </si>
  <si>
    <t>Kraj</t>
  </si>
  <si>
    <t>Czas</t>
  </si>
  <si>
    <t>Normalny czas</t>
  </si>
  <si>
    <t>México</t>
  </si>
  <si>
    <t>Coréia do Sul</t>
  </si>
  <si>
    <t>Inglaterra</t>
  </si>
  <si>
    <t>E.U.A.</t>
  </si>
  <si>
    <t>Argélia</t>
  </si>
  <si>
    <t>Austrália</t>
  </si>
  <si>
    <t>Japão</t>
  </si>
  <si>
    <t>Camarões</t>
  </si>
  <si>
    <t>Costa do Marfim</t>
  </si>
  <si>
    <t>Grupo</t>
  </si>
  <si>
    <t>Campeão</t>
  </si>
  <si>
    <t>Mexic</t>
  </si>
  <si>
    <t>Coreea de Sud</t>
  </si>
  <si>
    <t>Brazilia</t>
  </si>
  <si>
    <t>Timp</t>
  </si>
  <si>
    <t>Campion</t>
  </si>
  <si>
    <t>Мексика</t>
  </si>
  <si>
    <t>Аргентина</t>
  </si>
  <si>
    <t>Южная Корея</t>
  </si>
  <si>
    <t>США</t>
  </si>
  <si>
    <t>Нидерланды</t>
  </si>
  <si>
    <t>Кот д'Ивуар</t>
  </si>
  <si>
    <t>Гондурас</t>
  </si>
  <si>
    <t>Язык</t>
  </si>
  <si>
    <t>Часовой пояс</t>
  </si>
  <si>
    <t>Группа</t>
  </si>
  <si>
    <t>Время</t>
  </si>
  <si>
    <t>Победитель</t>
  </si>
  <si>
    <t>Дополнительное время</t>
  </si>
  <si>
    <t>Пенальти</t>
  </si>
  <si>
    <t>Уругвај</t>
  </si>
  <si>
    <t>Аргентине</t>
  </si>
  <si>
    <t>Нигерија</t>
  </si>
  <si>
    <t>Јужна Кореја</t>
  </si>
  <si>
    <t>Енглеска</t>
  </si>
  <si>
    <t>САД</t>
  </si>
  <si>
    <t>Аустралија</t>
  </si>
  <si>
    <t>Јапан</t>
  </si>
  <si>
    <t>Бразила</t>
  </si>
  <si>
    <t>Обала Слоноваче</t>
  </si>
  <si>
    <t>Хондурасу</t>
  </si>
  <si>
    <t>Чиле</t>
  </si>
  <si>
    <t>Језик</t>
  </si>
  <si>
    <t>Зону</t>
  </si>
  <si>
    <t>Група Фазе</t>
  </si>
  <si>
    <t>Шибице</t>
  </si>
  <si>
    <t>Табеле</t>
  </si>
  <si>
    <t>Датум</t>
  </si>
  <si>
    <t>Земља</t>
  </si>
  <si>
    <t>Оцена</t>
  </si>
  <si>
    <t>Коло 16</t>
  </si>
  <si>
    <t>Полуфинале</t>
  </si>
  <si>
    <t>Полу-Финале</t>
  </si>
  <si>
    <t>Утакмица за треће место</t>
  </si>
  <si>
    <t>Коначни</t>
  </si>
  <si>
    <t>Победник</t>
  </si>
  <si>
    <t>Руннер Горе</t>
  </si>
  <si>
    <t>Нормална Време</t>
  </si>
  <si>
    <t>Додатне Време</t>
  </si>
  <si>
    <t>Казнени избијати</t>
  </si>
  <si>
    <t>Alžirija</t>
  </si>
  <si>
    <t>Avstralija</t>
  </si>
  <si>
    <t>Japonska</t>
  </si>
  <si>
    <t>Skupina</t>
  </si>
  <si>
    <t>Čas</t>
  </si>
  <si>
    <t>Tekma za tretje mesto</t>
  </si>
  <si>
    <t>Zmagovalec</t>
  </si>
  <si>
    <t>อาร์เจนตินา</t>
  </si>
  <si>
    <t>ไนจีเรีย</t>
  </si>
  <si>
    <t>เกาหลีใต้</t>
  </si>
  <si>
    <t>แอลจีเรีย</t>
  </si>
  <si>
    <t>ออสเตรเลีย</t>
  </si>
  <si>
    <t>กานา</t>
  </si>
  <si>
    <t>เนเธอร์แลนด์</t>
  </si>
  <si>
    <t>ฮอนดูรัส</t>
  </si>
  <si>
    <t>ภาษา</t>
  </si>
  <si>
    <t>กลุ่ม</t>
  </si>
  <si>
    <t>ประเทศ</t>
  </si>
  <si>
    <t>เวลา</t>
  </si>
  <si>
    <t>แชมป์</t>
  </si>
  <si>
    <t>Thai</t>
  </si>
  <si>
    <t>Argelia</t>
  </si>
  <si>
    <t>Países Bajos</t>
  </si>
  <si>
    <t>Japón</t>
  </si>
  <si>
    <t>Camerún</t>
  </si>
  <si>
    <t>Costa de Marfil</t>
  </si>
  <si>
    <t>Zona Horaria</t>
  </si>
  <si>
    <t>Fase de grupos</t>
  </si>
  <si>
    <t>Partidos</t>
  </si>
  <si>
    <t>Clasificación</t>
  </si>
  <si>
    <t>Fecha</t>
  </si>
  <si>
    <t>Cuartos de final</t>
  </si>
  <si>
    <t>Semifinales</t>
  </si>
  <si>
    <t>Ganador</t>
  </si>
  <si>
    <t>Subcampeón</t>
  </si>
  <si>
    <t>Campeón</t>
  </si>
  <si>
    <t>Arjantin</t>
  </si>
  <si>
    <t>Nijerya</t>
  </si>
  <si>
    <t>Güney Kore</t>
  </si>
  <si>
    <t>ABD</t>
  </si>
  <si>
    <t>Cezayir</t>
  </si>
  <si>
    <t>Avustralya</t>
  </si>
  <si>
    <t>Japonya</t>
  </si>
  <si>
    <t>Brezilya</t>
  </si>
  <si>
    <t>Şili</t>
  </si>
  <si>
    <t>Dil</t>
  </si>
  <si>
    <t>Maçlar</t>
  </si>
  <si>
    <t>Tarih</t>
  </si>
  <si>
    <t>Ülke</t>
  </si>
  <si>
    <t>Puan</t>
  </si>
  <si>
    <t>Çeyrek Final</t>
  </si>
  <si>
    <t>Şampiyon</t>
  </si>
  <si>
    <t>Anh</t>
  </si>
  <si>
    <t>An-giê-ri</t>
  </si>
  <si>
    <t>Úc</t>
  </si>
  <si>
    <t>Nhật Bản</t>
  </si>
  <si>
    <t>Ý</t>
  </si>
  <si>
    <t>Bờ Biển Ngà</t>
  </si>
  <si>
    <t>Ngôn ngữ</t>
  </si>
  <si>
    <t>Múi giờ</t>
  </si>
  <si>
    <t>Ngày</t>
  </si>
  <si>
    <t>Thời gian</t>
  </si>
  <si>
    <t>Group A Winner</t>
  </si>
  <si>
    <t>Group B Winner</t>
  </si>
  <si>
    <t>Group C Winner</t>
  </si>
  <si>
    <t>Group D Winner</t>
  </si>
  <si>
    <t>Group E Winner</t>
  </si>
  <si>
    <t>Group F Winner</t>
  </si>
  <si>
    <t>Group G Winner</t>
  </si>
  <si>
    <t>Group H Winner</t>
  </si>
  <si>
    <t>Group A Runner Up</t>
  </si>
  <si>
    <t>Group B Runner Up</t>
  </si>
  <si>
    <t>Group C Runner Up</t>
  </si>
  <si>
    <t>Group D Runner Up</t>
  </si>
  <si>
    <t>Group E Runner Up</t>
  </si>
  <si>
    <t>Group F Runner Up</t>
  </si>
  <si>
    <t>Group G Runner Up</t>
  </si>
  <si>
    <t>Group H Runner Up</t>
  </si>
  <si>
    <t>Match 53 Winner</t>
  </si>
  <si>
    <t>Match 54 Winner</t>
  </si>
  <si>
    <t>Match 56 Winner</t>
  </si>
  <si>
    <t>Match 57 Winner</t>
  </si>
  <si>
    <t>Match 58 Winner</t>
  </si>
  <si>
    <t>Match 61 Winner</t>
  </si>
  <si>
    <t>Match 62 Winner</t>
  </si>
  <si>
    <t>Match 63 Winner</t>
  </si>
  <si>
    <t>Match 64 Winner</t>
  </si>
  <si>
    <t>Match 60 Winner</t>
  </si>
  <si>
    <t>Match 59 Winner</t>
  </si>
  <si>
    <t>Match 55 Winner</t>
  </si>
  <si>
    <t>メキシコ</t>
  </si>
  <si>
    <t>ウルグアイ</t>
  </si>
  <si>
    <t>フランス</t>
  </si>
  <si>
    <t>アルゼンチン</t>
  </si>
  <si>
    <t>ナイジェリア</t>
  </si>
  <si>
    <t>大韓民国</t>
  </si>
  <si>
    <t>ギリシャ</t>
  </si>
  <si>
    <t>イングランド</t>
  </si>
  <si>
    <t>アメリカ合衆国</t>
  </si>
  <si>
    <t>アルジェリア</t>
  </si>
  <si>
    <t>ドイツ</t>
  </si>
  <si>
    <t>オーストラリア</t>
  </si>
  <si>
    <t>ガーナ</t>
  </si>
  <si>
    <t>オランダ</t>
  </si>
  <si>
    <t>カメルーン</t>
  </si>
  <si>
    <t>イタリア</t>
  </si>
  <si>
    <t>ブラジル</t>
  </si>
  <si>
    <t>コートジボワール</t>
  </si>
  <si>
    <t>ポルトガル</t>
  </si>
  <si>
    <t>スペイン</t>
  </si>
  <si>
    <t>スイス</t>
  </si>
  <si>
    <t>ホンジュラス</t>
  </si>
  <si>
    <t>チリ</t>
  </si>
  <si>
    <t>言語</t>
  </si>
  <si>
    <t>タイムゾーン</t>
  </si>
  <si>
    <t>グループステージ</t>
  </si>
  <si>
    <t>一致</t>
  </si>
  <si>
    <t>賽事62負方</t>
  </si>
  <si>
    <t>Ζώνη Ώρας</t>
  </si>
  <si>
    <t>Αγώνες</t>
  </si>
  <si>
    <t>Τελικός</t>
  </si>
  <si>
    <t>Δεύτερος</t>
  </si>
  <si>
    <t>Κανονική Διάρκεια</t>
  </si>
  <si>
    <t>Αγώνας #</t>
  </si>
  <si>
    <t>Νικητής Α Ομίλου</t>
  </si>
  <si>
    <t>Νικητής Β Ομίλου</t>
  </si>
  <si>
    <t>Νικητής Γ Ομίλου</t>
  </si>
  <si>
    <t>Νικητής Δ Ομίλου</t>
  </si>
  <si>
    <t>Νικητής Ε Ομίλου</t>
  </si>
  <si>
    <t>Νικητής ΣΤ Ομίλου</t>
  </si>
  <si>
    <t>Νικητής Ζ Ομίλου</t>
  </si>
  <si>
    <t>Νικητής Η Ομίλου</t>
  </si>
  <si>
    <t>Δεύτερος Α Ομίλου</t>
  </si>
  <si>
    <t>Δεύτερος Β Ομίλου</t>
  </si>
  <si>
    <t>Δεύτερος Γ Ομίλου</t>
  </si>
  <si>
    <t>Δεύτερος Δ Ομίλου</t>
  </si>
  <si>
    <t>Δεύτερος Ε Ομίλου</t>
  </si>
  <si>
    <t>Δεύτερος ΣΤ Ομίλου</t>
  </si>
  <si>
    <t>Δεύτερος Ζ Ομίλου</t>
  </si>
  <si>
    <t>Δεύτερος Η Ομίλου</t>
  </si>
  <si>
    <t>Νίκες</t>
  </si>
  <si>
    <t>Ισοπαλίες</t>
  </si>
  <si>
    <t>Ήττες</t>
  </si>
  <si>
    <t>Γκολ υπέρ</t>
  </si>
  <si>
    <t>Γκολ κατά</t>
  </si>
  <si>
    <t>Βαθμοί</t>
  </si>
  <si>
    <t>Δεύτερη θέση</t>
  </si>
  <si>
    <t>Όμιλος Α</t>
  </si>
  <si>
    <t>Όμιλος Β</t>
  </si>
  <si>
    <t>Όμιλος Γ</t>
  </si>
  <si>
    <t>Όμιλος Δ</t>
  </si>
  <si>
    <t>Όμιλος Ε</t>
  </si>
  <si>
    <t>Όμιλος ΣΤ</t>
  </si>
  <si>
    <t>Όμιλος Ζ</t>
  </si>
  <si>
    <t>Όμιλος Η</t>
  </si>
  <si>
    <t>Ηττημένος Αγώνα 61</t>
  </si>
  <si>
    <t>Ηττημένος Αγώνα 62</t>
  </si>
  <si>
    <t>Urugway</t>
  </si>
  <si>
    <t>Korea Poludniowa</t>
  </si>
  <si>
    <t>Alegria</t>
  </si>
  <si>
    <t>Wlochy</t>
  </si>
  <si>
    <t>Wybrzeze Kosci Sloniowej</t>
  </si>
  <si>
    <t>Jezyk</t>
  </si>
  <si>
    <t>Strefa Czasu</t>
  </si>
  <si>
    <t>Czesc Grupowa</t>
  </si>
  <si>
    <t>Mecze</t>
  </si>
  <si>
    <t>Pozycja</t>
  </si>
  <si>
    <t>Wynik</t>
  </si>
  <si>
    <t>Runda 16</t>
  </si>
  <si>
    <t>Cwierc-finaly</t>
  </si>
  <si>
    <t>Pol-finaly</t>
  </si>
  <si>
    <t>Mecz o 3-cia pozycje</t>
  </si>
  <si>
    <t>Zwyciezca</t>
  </si>
  <si>
    <t>2gi finalista</t>
  </si>
  <si>
    <t>Dodatkowy czas</t>
  </si>
  <si>
    <t>Karne</t>
  </si>
  <si>
    <t>Mistrz</t>
  </si>
  <si>
    <t>Mecz</t>
  </si>
  <si>
    <t>Grupa A Zwyciezca</t>
  </si>
  <si>
    <t>Grupa B Zwyciezca</t>
  </si>
  <si>
    <t>Grupa C Zwyciezca</t>
  </si>
  <si>
    <t>Grupa D Zwyciezca</t>
  </si>
  <si>
    <t>Grupa E Zwyciezca</t>
  </si>
  <si>
    <t>Grupa F Zwyciezca</t>
  </si>
  <si>
    <t>Grupa G Zwyciezca</t>
  </si>
  <si>
    <t>Grupa H Zwyciezca</t>
  </si>
  <si>
    <t>Grupa A 2gi</t>
  </si>
  <si>
    <t>Grupa B 2gi</t>
  </si>
  <si>
    <t>Grupa C 2gi</t>
  </si>
  <si>
    <t>Grupa D 2gi</t>
  </si>
  <si>
    <t>Grupa E 2gi</t>
  </si>
  <si>
    <t>Grupa F 2gi</t>
  </si>
  <si>
    <t>Grupa G 2gi</t>
  </si>
  <si>
    <t>Grupa H 2gi</t>
  </si>
  <si>
    <t>Mecz 53 Zwyciezca</t>
  </si>
  <si>
    <t>Mecz 54 Zwyciezca</t>
  </si>
  <si>
    <t>Mecz 55 Zwyciezca</t>
  </si>
  <si>
    <t>Mecz 56 Zwyciezca</t>
  </si>
  <si>
    <t>Mecz 57 Zwyciezca</t>
  </si>
  <si>
    <t>Mecz 58 Zwyciezca</t>
  </si>
  <si>
    <t>Mecz 59 Zwyciezca</t>
  </si>
  <si>
    <t>Mecz 60 Zwyciezca</t>
  </si>
  <si>
    <t>Mecz 61 Zwyciezca</t>
  </si>
  <si>
    <t>Mecz 62 Zwyciezca</t>
  </si>
  <si>
    <t>Mecz 63 Zwyciezca</t>
  </si>
  <si>
    <t>Mecz 64 Zwyciezca</t>
  </si>
  <si>
    <t xml:space="preserve">Bramki Strzelone </t>
  </si>
  <si>
    <t>Bramki Stracone</t>
  </si>
  <si>
    <t>Punkty</t>
  </si>
  <si>
    <t>2gie miejsce</t>
  </si>
  <si>
    <t>Mecz 49 Zwyciezca</t>
  </si>
  <si>
    <t>Mecz 50 Zwyciezca</t>
  </si>
  <si>
    <t>Mecz 51 Zwyciezca</t>
  </si>
  <si>
    <t>Mecz 52 Zwyciezca</t>
  </si>
  <si>
    <t>Mecz 61 Przegrany</t>
  </si>
  <si>
    <t>Mecz 62 Przegrany</t>
  </si>
  <si>
    <t>Südkorea</t>
  </si>
  <si>
    <t>Tabellen</t>
  </si>
  <si>
    <t>Spiel um Platz 3</t>
  </si>
  <si>
    <t>Sieger</t>
  </si>
  <si>
    <t>Zweiter</t>
  </si>
  <si>
    <t>Reguläre Spielzeit</t>
  </si>
  <si>
    <t>Verlängerung</t>
  </si>
  <si>
    <t>Elfmeterschießen</t>
  </si>
  <si>
    <t>Meister</t>
  </si>
  <si>
    <t>Sieger Gruppe A</t>
  </si>
  <si>
    <t>Sieger Gruppe B</t>
  </si>
  <si>
    <t>Sieger Gruppe D</t>
  </si>
  <si>
    <t>Sieger Gruppe E</t>
  </si>
  <si>
    <t>Sieger Gruppe F</t>
  </si>
  <si>
    <t>Sieger Gruppe G</t>
  </si>
  <si>
    <t>Sieger Gruppe H</t>
  </si>
  <si>
    <t>Zweiter Gruppe A</t>
  </si>
  <si>
    <t>Zweiter Gruppe B</t>
  </si>
  <si>
    <t>Zweiter Gruppe C</t>
  </si>
  <si>
    <t>Zweiter Gruppe D</t>
  </si>
  <si>
    <t>Zweiter Gruppe E</t>
  </si>
  <si>
    <t>Zweiter Gruppe F</t>
  </si>
  <si>
    <t>Zweiter Gruppe G</t>
  </si>
  <si>
    <t>Zweiter Gruppe H</t>
  </si>
  <si>
    <t>Sieger Spiel 53</t>
  </si>
  <si>
    <t>Sieger Spiel 54</t>
  </si>
  <si>
    <t>Sieger Spiel 55</t>
  </si>
  <si>
    <t>Sieger Spiel 56</t>
  </si>
  <si>
    <t>Sieger Spiel 57</t>
  </si>
  <si>
    <t>Sieger Spiel 58</t>
  </si>
  <si>
    <t>Sieger Spiel 59</t>
  </si>
  <si>
    <t>Sieger Spiel 60</t>
  </si>
  <si>
    <t>Sieger Spiel 61</t>
  </si>
  <si>
    <t>Sieger Spiel 62</t>
  </si>
  <si>
    <t>Sieger Spiel 63</t>
  </si>
  <si>
    <t>Sieger Spiel 64</t>
  </si>
  <si>
    <t>Zweiter Platz</t>
  </si>
  <si>
    <t>Sieger Spiel 49</t>
  </si>
  <si>
    <t>Sieger Spiel 50</t>
  </si>
  <si>
    <t>Sieger Spiel 51</t>
  </si>
  <si>
    <t>Sieger Spiel 52</t>
  </si>
  <si>
    <t>Verlierer Spiel 61</t>
  </si>
  <si>
    <t>Verlierer Spiel 62</t>
  </si>
  <si>
    <t>Francúzko</t>
  </si>
  <si>
    <t>Južná Kórea</t>
  </si>
  <si>
    <t>Grécko</t>
  </si>
  <si>
    <t>Anglicko</t>
  </si>
  <si>
    <t>Alžírsko</t>
  </si>
  <si>
    <t>Nemecko</t>
  </si>
  <si>
    <t>Holandsko</t>
  </si>
  <si>
    <t>Japonsko</t>
  </si>
  <si>
    <t>Taliansko</t>
  </si>
  <si>
    <t>Pobrežie Slonoviny</t>
  </si>
  <si>
    <t>Portugalsko</t>
  </si>
  <si>
    <t>Španielsko</t>
  </si>
  <si>
    <t>Švajčiarsko</t>
  </si>
  <si>
    <t>Slovenčina</t>
  </si>
  <si>
    <t>Časové pásmo</t>
  </si>
  <si>
    <t>Skupinová fáza</t>
  </si>
  <si>
    <t>Zápasy</t>
  </si>
  <si>
    <t>Poradie</t>
  </si>
  <si>
    <t>Krajina</t>
  </si>
  <si>
    <t>Výsledok</t>
  </si>
  <si>
    <t>Osemfinále</t>
  </si>
  <si>
    <t>Štvrťfinále</t>
  </si>
  <si>
    <t>Semifinále</t>
  </si>
  <si>
    <t>Zápas o tretie miesto</t>
  </si>
  <si>
    <t>Finále</t>
  </si>
  <si>
    <t>Víťaz</t>
  </si>
  <si>
    <t>Postupujúci</t>
  </si>
  <si>
    <t>Normálny hrací čas</t>
  </si>
  <si>
    <t>Predĺženie</t>
  </si>
  <si>
    <t>Po pok.kopoch</t>
  </si>
  <si>
    <t>Zápas č.</t>
  </si>
  <si>
    <t>Víťaz A skupiny</t>
  </si>
  <si>
    <t>Druhý z A skupiny</t>
  </si>
  <si>
    <t>Druhý z B skupiny</t>
  </si>
  <si>
    <t>Druhý z C skupiny</t>
  </si>
  <si>
    <t>Druhý z D skupiny</t>
  </si>
  <si>
    <t>Druhý z E skupiny</t>
  </si>
  <si>
    <t>Druhý z F skupiny</t>
  </si>
  <si>
    <t>Druhý z G skupiny</t>
  </si>
  <si>
    <t>Druhý z H skupiny</t>
  </si>
  <si>
    <t>Víťaz zápasu č.53</t>
  </si>
  <si>
    <t>Víťaz zápasu č.54</t>
  </si>
  <si>
    <t>Víťaz zápasu č.55</t>
  </si>
  <si>
    <t>Víťaz zápasu č.56</t>
  </si>
  <si>
    <t>Víťaz zápasu č.57</t>
  </si>
  <si>
    <t>Víťaz zápasu č.58</t>
  </si>
  <si>
    <t>Víťaz zápasu č.59</t>
  </si>
  <si>
    <t>Víťaz zápasu č.60</t>
  </si>
  <si>
    <t>Víťaz zápasu č.61</t>
  </si>
  <si>
    <t>Víťaz zápasu č.62</t>
  </si>
  <si>
    <t>Víťaz zápasu č.63</t>
  </si>
  <si>
    <t>Víťaz zápasu č.64</t>
  </si>
  <si>
    <t>Strelené góly</t>
  </si>
  <si>
    <t>Inkasované góly</t>
  </si>
  <si>
    <t>Body</t>
  </si>
  <si>
    <t>Druhé miesto</t>
  </si>
  <si>
    <t>Skupina A</t>
  </si>
  <si>
    <t>Víťaz zápasu č.49</t>
  </si>
  <si>
    <t>Víťaz zápasu č.50</t>
  </si>
  <si>
    <t>Víťaz zápasu č.51</t>
  </si>
  <si>
    <t>Víťaz zápasu č.52</t>
  </si>
  <si>
    <t>Porazený zo zápasu č.61</t>
  </si>
  <si>
    <t>Porazený zo zápasu č.62</t>
  </si>
  <si>
    <t>Penyisihan Grup</t>
  </si>
  <si>
    <t>Babak 16 besar</t>
  </si>
  <si>
    <t>Babak Perempat Final</t>
  </si>
  <si>
    <t xml:space="preserve">Babak Semi Final </t>
  </si>
  <si>
    <t>Perebutan Juara ke-3</t>
  </si>
  <si>
    <t>Sør-Korea</t>
  </si>
  <si>
    <t>Hellas</t>
  </si>
  <si>
    <t>Sveits</t>
  </si>
  <si>
    <t>Tidssone</t>
  </si>
  <si>
    <t>Gruppespill</t>
  </si>
  <si>
    <t>Kamper</t>
  </si>
  <si>
    <t>Tabell</t>
  </si>
  <si>
    <t>16-delsfinaler</t>
  </si>
  <si>
    <t>Kamp om tredjeplassen</t>
  </si>
  <si>
    <t>Vinner</t>
  </si>
  <si>
    <t>Sølvvinner</t>
  </si>
  <si>
    <t>Ordinær tid</t>
  </si>
  <si>
    <t>Overtid</t>
  </si>
  <si>
    <t>Straffespark-konkurranse</t>
  </si>
  <si>
    <t>Kamp #</t>
  </si>
  <si>
    <t>Vinner Gruppe A</t>
  </si>
  <si>
    <t>Vinner Gruppe B</t>
  </si>
  <si>
    <t>Vinner Gruppe C</t>
  </si>
  <si>
    <t>Vinner Gruppe D</t>
  </si>
  <si>
    <t>Vinner Gruppe E</t>
  </si>
  <si>
    <t>Vinner Gruppe F</t>
  </si>
  <si>
    <t>Vinner Gruppe G</t>
  </si>
  <si>
    <t>Vinner Gruppe H</t>
  </si>
  <si>
    <t>Andreplass Gruppe A</t>
  </si>
  <si>
    <t>Andreplass Gruppe B</t>
  </si>
  <si>
    <t>Andreplass Gruppe C</t>
  </si>
  <si>
    <t>Andreplass Gruppe D</t>
  </si>
  <si>
    <t>Andreplass Gruppe E</t>
  </si>
  <si>
    <t>Andreplass Gruppe F</t>
  </si>
  <si>
    <t>Andreplass Gruppe G</t>
  </si>
  <si>
    <t>Andreplass Gruppe H</t>
  </si>
  <si>
    <t>Vinner Kamp 53</t>
  </si>
  <si>
    <t>Vinner Kamp 54</t>
  </si>
  <si>
    <t>Vinner Kamp 55</t>
  </si>
  <si>
    <t>Vinner Kamp 56</t>
  </si>
  <si>
    <t>Vinner Kamp 57</t>
  </si>
  <si>
    <t>Vinner Kamp 58</t>
  </si>
  <si>
    <t>Vinner Kamp 59</t>
  </si>
  <si>
    <t>Vinner Kamp 60</t>
  </si>
  <si>
    <t>Vinner Kamp 61</t>
  </si>
  <si>
    <t>Vinner Kamp 62</t>
  </si>
  <si>
    <t>Vinner Kamp 63</t>
  </si>
  <si>
    <t>Vinner Kamp 64</t>
  </si>
  <si>
    <t>Poeng</t>
  </si>
  <si>
    <t>Andreplass</t>
  </si>
  <si>
    <t>Vinner Kamp 49</t>
  </si>
  <si>
    <t>Vinner Kamp 50</t>
  </si>
  <si>
    <t>Vinner Kamp 51</t>
  </si>
  <si>
    <t>Vinner Kamp 52</t>
  </si>
  <si>
    <t>Taper Kamp 61</t>
  </si>
  <si>
    <t>Taper Kamp 62</t>
  </si>
  <si>
    <t>Coreia do Sul</t>
  </si>
  <si>
    <t>Autrália</t>
  </si>
  <si>
    <t>Draw Result</t>
  </si>
  <si>
    <t>Fase de Grupos</t>
  </si>
  <si>
    <t>Classificações</t>
  </si>
  <si>
    <t>Quartos de Final</t>
  </si>
  <si>
    <t>Vencido</t>
  </si>
  <si>
    <t>Tempo Regulamentar</t>
  </si>
  <si>
    <t>Prolongamento</t>
  </si>
  <si>
    <t>Vencedor Grupo A</t>
  </si>
  <si>
    <t>Vencedor Grupo B</t>
  </si>
  <si>
    <t>Vencedor Grupo D</t>
  </si>
  <si>
    <t>Vencedor Grupo F</t>
  </si>
  <si>
    <t>Vencedor Grupo G</t>
  </si>
  <si>
    <t>Vencedor Grupo H</t>
  </si>
  <si>
    <t>2º Classificado Grupo A</t>
  </si>
  <si>
    <t>2º Classificado Grupo B</t>
  </si>
  <si>
    <t>מנצחת משחק מספר 63</t>
  </si>
  <si>
    <t>מנצחת משחק מספר 64</t>
  </si>
  <si>
    <t>משחקים (מ)</t>
  </si>
  <si>
    <t>נצחונות (נ)</t>
  </si>
  <si>
    <t>תיקו (ת)</t>
  </si>
  <si>
    <t>הפסדים (ה)</t>
  </si>
  <si>
    <t>שערי זכות (ש"ז)</t>
  </si>
  <si>
    <t>שערי חובה (ש''ח)</t>
  </si>
  <si>
    <t>נקודות (נק')</t>
  </si>
  <si>
    <t>מקום שני</t>
  </si>
  <si>
    <t>בית א'</t>
  </si>
  <si>
    <t>בית ב'</t>
  </si>
  <si>
    <t>בית ג'</t>
  </si>
  <si>
    <t>בית ד'</t>
  </si>
  <si>
    <t>בית ה'</t>
  </si>
  <si>
    <t>בית ו'</t>
  </si>
  <si>
    <t>בית ז'</t>
  </si>
  <si>
    <t>בית ח'</t>
  </si>
  <si>
    <t>מנצחת משחק מספר 49</t>
  </si>
  <si>
    <t>מנצחת משחק מספר 50</t>
  </si>
  <si>
    <t>מנצחת משחק מספר 51</t>
  </si>
  <si>
    <t>מנצחת משחק מספר 52</t>
  </si>
  <si>
    <t>מפסידה משחק מספר 61</t>
  </si>
  <si>
    <t>מפסידה במשחק מספר 62</t>
  </si>
  <si>
    <t>Icelandic</t>
  </si>
  <si>
    <t>Mexíkó</t>
  </si>
  <si>
    <t>Úrugvæ</t>
  </si>
  <si>
    <t>Frakkland</t>
  </si>
  <si>
    <t>Nígería</t>
  </si>
  <si>
    <t>Suður-Kórea</t>
  </si>
  <si>
    <t>Grikkland</t>
  </si>
  <si>
    <t>Alsír</t>
  </si>
  <si>
    <t>Þýskaland</t>
  </si>
  <si>
    <t>Ástralía</t>
  </si>
  <si>
    <t>Kamerún</t>
  </si>
  <si>
    <t>Ítalía</t>
  </si>
  <si>
    <t>Brasilía</t>
  </si>
  <si>
    <t>Fílabeinsströndin</t>
  </si>
  <si>
    <t>Portúgal</t>
  </si>
  <si>
    <t>Spánn</t>
  </si>
  <si>
    <t>Sviss</t>
  </si>
  <si>
    <t>Hondúras</t>
  </si>
  <si>
    <t>Tungumál</t>
  </si>
  <si>
    <t>Tímabelti</t>
  </si>
  <si>
    <t>Riðla og leikjaröð</t>
  </si>
  <si>
    <t>Leikir</t>
  </si>
  <si>
    <t>Staða</t>
  </si>
  <si>
    <t>Riðill</t>
  </si>
  <si>
    <t>Dagur</t>
  </si>
  <si>
    <t>Tími</t>
  </si>
  <si>
    <t>16 liða úrslit</t>
  </si>
  <si>
    <t>8 liða úrslit</t>
  </si>
  <si>
    <t>Undanúrslit</t>
  </si>
  <si>
    <t>Leikur um þriðja sæti</t>
  </si>
  <si>
    <t>Időzóna</t>
  </si>
  <si>
    <t>Csoport</t>
  </si>
  <si>
    <t>Időpont</t>
  </si>
  <si>
    <t>Döntő</t>
  </si>
  <si>
    <t>Rendes játékidő</t>
  </si>
  <si>
    <t>Hosszabítás</t>
  </si>
  <si>
    <t>A csoport győztese</t>
  </si>
  <si>
    <t>B csoport győztese</t>
  </si>
  <si>
    <t>C csoport győztese</t>
  </si>
  <si>
    <t>Játszott</t>
  </si>
  <si>
    <t>Nyert</t>
  </si>
  <si>
    <t>Döntetlen</t>
  </si>
  <si>
    <t>Vesztett</t>
  </si>
  <si>
    <t>Lőtt gólok</t>
  </si>
  <si>
    <t>Kapott gólok</t>
  </si>
  <si>
    <t>Pont</t>
  </si>
  <si>
    <t>Második hely</t>
  </si>
  <si>
    <t>A csoport</t>
  </si>
  <si>
    <t>B csoport</t>
  </si>
  <si>
    <t>49. mérkőzés győztese</t>
  </si>
  <si>
    <t>50. mérkőzés győztese</t>
  </si>
  <si>
    <t>51. mérkőzés győztese</t>
  </si>
  <si>
    <t>52. mérkőzés győztese</t>
  </si>
  <si>
    <t>61. mérkőzés vesztese</t>
  </si>
  <si>
    <t>62. mérkőzés vesztese</t>
  </si>
  <si>
    <t>Dél-Kórea</t>
  </si>
  <si>
    <t>Egyesült Államok</t>
  </si>
  <si>
    <t>Hondurasz</t>
  </si>
  <si>
    <t>Csoportküzdelmek</t>
  </si>
  <si>
    <t>Mérkőzések</t>
  </si>
  <si>
    <t>Tabellák</t>
  </si>
  <si>
    <t>Végeredmény</t>
  </si>
  <si>
    <t>Negyeddöntő</t>
  </si>
  <si>
    <t>Elődöntő</t>
  </si>
  <si>
    <t>3. helyért játszott mérkőzés</t>
  </si>
  <si>
    <t>Győztes</t>
  </si>
  <si>
    <t>Továbbjutó</t>
  </si>
  <si>
    <t>Büntetőrúgások</t>
  </si>
  <si>
    <t>Világbajnok</t>
  </si>
  <si>
    <t># mérkőzés</t>
  </si>
  <si>
    <t>A csoport 2. helyezettje</t>
  </si>
  <si>
    <t>B csoport 2. helyezettje</t>
  </si>
  <si>
    <t>C csoport 2. helyezettje</t>
  </si>
  <si>
    <t>D csoport 2. helyezettje</t>
  </si>
  <si>
    <t>E csoport 2. helyezettje</t>
  </si>
  <si>
    <t>F csoport 2. helyezettje</t>
  </si>
  <si>
    <t>G csoport 2. helyezettje</t>
  </si>
  <si>
    <t>H csoport 2. helyezettje</t>
  </si>
  <si>
    <t>53 mérkőzés győztese</t>
  </si>
  <si>
    <t>54 mérkőzés győztese</t>
  </si>
  <si>
    <t>55 mérkőzés győztese</t>
  </si>
  <si>
    <t>56 mérkőzés győztese</t>
  </si>
  <si>
    <t>57 mérkőzés győztese</t>
  </si>
  <si>
    <t>58 mérkőzés győztese</t>
  </si>
  <si>
    <t>59 mérkőzés győztese</t>
  </si>
  <si>
    <t>60 mérkőzés győztese</t>
  </si>
  <si>
    <t>61 mérkőzés győztese</t>
  </si>
  <si>
    <t>62 mérkőzés győztese</t>
  </si>
  <si>
    <t>63 mérkőzés győztese</t>
  </si>
  <si>
    <t>64 mérkőzés győztese</t>
  </si>
  <si>
    <t>Vencedor Jogo 50</t>
  </si>
  <si>
    <t>Vencedor Jogo 52</t>
  </si>
  <si>
    <t>Derrotado Jogo 61</t>
  </si>
  <si>
    <t>Derrotado Jogo 62</t>
  </si>
  <si>
    <t>مکزیک</t>
  </si>
  <si>
    <t>اوروگوئه</t>
  </si>
  <si>
    <t>فرانسه</t>
  </si>
  <si>
    <t>آرژانتین</t>
  </si>
  <si>
    <t>نیجریه</t>
  </si>
  <si>
    <t>کره جنوبی</t>
  </si>
  <si>
    <t>یونان</t>
  </si>
  <si>
    <t>انگلیس</t>
  </si>
  <si>
    <t>آمریکا</t>
  </si>
  <si>
    <t>الجزایر</t>
  </si>
  <si>
    <t>آلمان</t>
  </si>
  <si>
    <t>استرالیا</t>
  </si>
  <si>
    <t>غنا</t>
  </si>
  <si>
    <t>هلند</t>
  </si>
  <si>
    <t>ژاپن</t>
  </si>
  <si>
    <t>کامرون</t>
  </si>
  <si>
    <t>ایتالیا</t>
  </si>
  <si>
    <t>برزیل</t>
  </si>
  <si>
    <t>ساحل عاج</t>
  </si>
  <si>
    <t>پرتغال</t>
  </si>
  <si>
    <t>اسپانیا</t>
  </si>
  <si>
    <t>سوئیس</t>
  </si>
  <si>
    <t>شیلی</t>
  </si>
  <si>
    <t>زبان</t>
  </si>
  <si>
    <t>وقت محلی</t>
  </si>
  <si>
    <t>مرحله گروهی</t>
  </si>
  <si>
    <t>بازیها</t>
  </si>
  <si>
    <t>جدول</t>
  </si>
  <si>
    <t>گروه</t>
  </si>
  <si>
    <t>تاریخ</t>
  </si>
  <si>
    <t>کشور</t>
  </si>
  <si>
    <t>نتیجه</t>
  </si>
  <si>
    <t>زمان</t>
  </si>
  <si>
    <t>یک هشتم نهایی</t>
  </si>
  <si>
    <t>یک چهارم نهایی</t>
  </si>
  <si>
    <t>نیمه نهایی</t>
  </si>
  <si>
    <t>بازی رده بندی</t>
  </si>
  <si>
    <t>بازی نهایی</t>
  </si>
  <si>
    <t>برنده</t>
  </si>
  <si>
    <t>نایب قهرمان</t>
  </si>
  <si>
    <t>وقت عادی</t>
  </si>
  <si>
    <t>وقت اضافه</t>
  </si>
  <si>
    <t>ضربات پنالتی</t>
  </si>
  <si>
    <t>قهرمان</t>
  </si>
  <si>
    <t>بازی شماره</t>
  </si>
  <si>
    <t>تیم اول گروه A</t>
  </si>
  <si>
    <t>تیم اول گروه B</t>
  </si>
  <si>
    <t>تیم اول گروه C</t>
  </si>
  <si>
    <t>تیم اول گروه D</t>
  </si>
  <si>
    <t>تیم اول گروه E</t>
  </si>
  <si>
    <t>تیم اول گروه F</t>
  </si>
  <si>
    <t>تیم اول گروه G</t>
  </si>
  <si>
    <t>تیم اول گروه H</t>
  </si>
  <si>
    <t>تیم دوم گروه A</t>
  </si>
  <si>
    <t>تیم دوم گروه B</t>
  </si>
  <si>
    <t>تیم دوم گروه C</t>
  </si>
  <si>
    <t>تیم دوم گروه D</t>
  </si>
  <si>
    <t>تیم دوم گروه E</t>
  </si>
  <si>
    <t>تیم دوم گروه F</t>
  </si>
  <si>
    <t>تیم دوم گروه G</t>
  </si>
  <si>
    <t>تیم دوم گروه H</t>
  </si>
  <si>
    <t>برنده بازی 53</t>
  </si>
  <si>
    <t>برنده بازی 54</t>
  </si>
  <si>
    <t>برنده بازی 55</t>
  </si>
  <si>
    <t>برنده بازی 56</t>
  </si>
  <si>
    <t>برنده بازی 57</t>
  </si>
  <si>
    <t>برنده بازی 58</t>
  </si>
  <si>
    <t>برنده بازی 59</t>
  </si>
  <si>
    <t>برنده بازی 60</t>
  </si>
  <si>
    <t>برنده بازی 61</t>
  </si>
  <si>
    <t>برنده بازی 62</t>
  </si>
  <si>
    <t>برنده بازی 63</t>
  </si>
  <si>
    <t>برنده بازی 64</t>
  </si>
  <si>
    <t>بازی</t>
  </si>
  <si>
    <t>برد</t>
  </si>
  <si>
    <t>مساوی</t>
  </si>
  <si>
    <t>باخت</t>
  </si>
  <si>
    <t>گل زده</t>
  </si>
  <si>
    <t>گل خورده</t>
  </si>
  <si>
    <t>امتیاز</t>
  </si>
  <si>
    <t>جایگاه دوم</t>
  </si>
  <si>
    <t>گروه A</t>
  </si>
  <si>
    <t>گروه B</t>
  </si>
  <si>
    <t>گروه C</t>
  </si>
  <si>
    <t>گروه D</t>
  </si>
  <si>
    <t>گروه E</t>
  </si>
  <si>
    <t>گروه F</t>
  </si>
  <si>
    <t>گروه G</t>
  </si>
  <si>
    <t>گروه H</t>
  </si>
  <si>
    <t>برنده بازی 49</t>
  </si>
  <si>
    <t>برنده بازی 50</t>
  </si>
  <si>
    <t>برنده بازی 51</t>
  </si>
  <si>
    <t>برنده بازی 52</t>
  </si>
  <si>
    <t>بازنده بازی 61</t>
  </si>
  <si>
    <t>بازنده بازی 62</t>
  </si>
  <si>
    <t>เม็กซิโก</t>
  </si>
  <si>
    <t>อุรุกวัย</t>
  </si>
  <si>
    <t>ฝรั่งเศส</t>
  </si>
  <si>
    <t>กรีก</t>
  </si>
  <si>
    <t>อังกฤษ</t>
  </si>
  <si>
    <t>สหรัฐอเมริกา</t>
  </si>
  <si>
    <t>เยอรมัน</t>
  </si>
  <si>
    <t>ญี่ปุ่น</t>
  </si>
  <si>
    <t>แคเมรูน</t>
  </si>
  <si>
    <t>อิตาลี</t>
  </si>
  <si>
    <t>บราซิล</t>
  </si>
  <si>
    <t>ไอวอรีโคสต์</t>
  </si>
  <si>
    <t>โปรตุเกส</t>
  </si>
  <si>
    <t>สเปน</t>
  </si>
  <si>
    <t>สวิสเซอร์แลนด์</t>
  </si>
  <si>
    <t>ชิลี</t>
  </si>
  <si>
    <t>เขตเวลา</t>
  </si>
  <si>
    <t>วันที่</t>
  </si>
  <si>
    <t>ผลการแข่งขัน</t>
  </si>
  <si>
    <t>รอบ 16 ทีม</t>
  </si>
  <si>
    <t>รอบรองชนะเลิศ</t>
  </si>
  <si>
    <t>รอบชิงที่สาม</t>
  </si>
  <si>
    <t>รอบชิงชนะเลิศ</t>
  </si>
  <si>
    <t>ผู้ชนะ</t>
  </si>
  <si>
    <t>ที่สอง</t>
  </si>
  <si>
    <t>เวลาปกติ</t>
  </si>
  <si>
    <t>ต่อเวลา</t>
  </si>
  <si>
    <t>ยิงลูกโทษ</t>
  </si>
  <si>
    <t>แม็ช #</t>
  </si>
  <si>
    <t>ผู้ชนะ กลุ่ม A</t>
  </si>
  <si>
    <t>ผู้ชนะ กลุ่ม B</t>
  </si>
  <si>
    <t>ผู้ชนะ กลุ่ม C</t>
  </si>
  <si>
    <t>ผู้ชนะ กลุ่ม D</t>
  </si>
  <si>
    <t>ผู้ชนะ กลุ่ม E</t>
  </si>
  <si>
    <t>ผู้ชนะ กลุ่ม F</t>
  </si>
  <si>
    <t>ผู้ชนะ กลุ่ม G</t>
  </si>
  <si>
    <t>ผู้ชนะ กลุ่ม H</t>
  </si>
  <si>
    <t xml:space="preserve">ที่สอง กลุ่ม A </t>
  </si>
  <si>
    <t>ที่สอง กลุ่ม B</t>
  </si>
  <si>
    <t>ที่สอง กลุ่ม C</t>
  </si>
  <si>
    <t>ที่สอง กลุ่ม D</t>
  </si>
  <si>
    <t>ที่สอง กลุ่ม E</t>
  </si>
  <si>
    <t>ที่สอง กลุ่ม F</t>
  </si>
  <si>
    <t>ที่สอง กลุ่ม G</t>
  </si>
  <si>
    <t>ที่สอง กลุ่ม H</t>
  </si>
  <si>
    <t>รองแชมป์</t>
  </si>
  <si>
    <t>กลุ่ม A</t>
  </si>
  <si>
    <t>กลุ่ม B</t>
  </si>
  <si>
    <t>กลุ่ม C</t>
  </si>
  <si>
    <t>กลุ่ม D</t>
  </si>
  <si>
    <t>กลุ่ม F</t>
  </si>
  <si>
    <t>กลุ่ม G</t>
  </si>
  <si>
    <t>กลุ่ม H</t>
  </si>
  <si>
    <t>Úrslit</t>
  </si>
  <si>
    <t>Sigurvegari</t>
  </si>
  <si>
    <t>2.sæti</t>
  </si>
  <si>
    <t>Venjulegur leiktími</t>
  </si>
  <si>
    <t>Framlenging</t>
  </si>
  <si>
    <t>Vítaspyrnukeppni</t>
  </si>
  <si>
    <t>Meistari</t>
  </si>
  <si>
    <t>Leikur #</t>
  </si>
  <si>
    <t>1.sæti riðill A</t>
  </si>
  <si>
    <t>1.sæti riðill B</t>
  </si>
  <si>
    <t>1.sæti riðill C</t>
  </si>
  <si>
    <t>1.sæti riðill D</t>
  </si>
  <si>
    <t>1.sæti riðill E</t>
  </si>
  <si>
    <t>1.sæti riðill F</t>
  </si>
  <si>
    <t>1.sæti riðill G</t>
  </si>
  <si>
    <t>1.sæti riðill H</t>
  </si>
  <si>
    <t>2.sæti riðill A</t>
  </si>
  <si>
    <t>2.sæti riðill B</t>
  </si>
  <si>
    <t>2.sæti riðill C</t>
  </si>
  <si>
    <t>2.sæti riðill D</t>
  </si>
  <si>
    <t>2.sæti riðill E</t>
  </si>
  <si>
    <t>Aikavyöhyke</t>
  </si>
  <si>
    <t>Alkulohkot</t>
  </si>
  <si>
    <t>Ottelut</t>
  </si>
  <si>
    <t>Taulukot</t>
  </si>
  <si>
    <t>Lohko</t>
  </si>
  <si>
    <t>Pvm</t>
  </si>
  <si>
    <t>Joukkue</t>
  </si>
  <si>
    <t>Tulos</t>
  </si>
  <si>
    <t>Aika</t>
  </si>
  <si>
    <t>Neljännesvälierät</t>
  </si>
  <si>
    <t>Puolivälierät</t>
  </si>
  <si>
    <t>Välierät</t>
  </si>
  <si>
    <t>Pronssiottelu</t>
  </si>
  <si>
    <t>Loppuottelu</t>
  </si>
  <si>
    <t>Voittaja</t>
  </si>
  <si>
    <t>Kakkonen</t>
  </si>
  <si>
    <t>Varsinainen peliaika</t>
  </si>
  <si>
    <t>Jatkoaika</t>
  </si>
  <si>
    <t>Rangaistuspotkut</t>
  </si>
  <si>
    <t>Mestari</t>
  </si>
  <si>
    <t>Ottelu #</t>
  </si>
  <si>
    <t>Lohkon A voittaja</t>
  </si>
  <si>
    <t>Lohkon B voittaja</t>
  </si>
  <si>
    <t>Lohkon C voittaja</t>
  </si>
  <si>
    <t>Lohkon D voittaja</t>
  </si>
  <si>
    <t>Lohkon E voittaja</t>
  </si>
  <si>
    <t>Lohkon F voittaja</t>
  </si>
  <si>
    <t>Lohkon G voittaja</t>
  </si>
  <si>
    <t>Lohkon H voittaja</t>
  </si>
  <si>
    <t>Lohkon A kakkonen</t>
  </si>
  <si>
    <t>Lohkon B kakkonen</t>
  </si>
  <si>
    <t>Lohkon C kakkonen</t>
  </si>
  <si>
    <t>Lohkon D kakkonen</t>
  </si>
  <si>
    <t>Lohkon E kakkonen</t>
  </si>
  <si>
    <t>Lohkon F kakkonen</t>
  </si>
  <si>
    <t>Lohkon G kakkonen</t>
  </si>
  <si>
    <t>Lohkon H kakkonen</t>
  </si>
  <si>
    <t>Voitot</t>
  </si>
  <si>
    <t>Tasapelit</t>
  </si>
  <si>
    <t>Häviöt</t>
  </si>
  <si>
    <t>Tehdyt maalit</t>
  </si>
  <si>
    <t>Päästetyt maalit</t>
  </si>
  <si>
    <t>Toinen sija</t>
  </si>
  <si>
    <t>Lohko A</t>
  </si>
  <si>
    <t>Lohko B</t>
  </si>
  <si>
    <t>Lohko C</t>
  </si>
  <si>
    <t>Lohko D</t>
  </si>
  <si>
    <t>Ottelun 61 häviäjä</t>
  </si>
  <si>
    <t>Ottelun 62 häviäjä</t>
  </si>
  <si>
    <t>Corée du Sud</t>
  </si>
  <si>
    <t xml:space="preserve">États-Unis </t>
  </si>
  <si>
    <t>Phases de poules</t>
  </si>
  <si>
    <t>Rencontres</t>
  </si>
  <si>
    <t xml:space="preserve">Huitièmes de finale </t>
  </si>
  <si>
    <t>Quarts de finale</t>
  </si>
  <si>
    <t>Second</t>
  </si>
  <si>
    <t>Temps réglementaire</t>
  </si>
  <si>
    <t>Temps additionnel</t>
  </si>
  <si>
    <t>Tirs au but</t>
  </si>
  <si>
    <t>Groupe A Vainqueur</t>
  </si>
  <si>
    <t>Groupe B Vainqueur</t>
  </si>
  <si>
    <t>Groupe C Vainqueur</t>
  </si>
  <si>
    <t>Groupe D Vainqueur</t>
  </si>
  <si>
    <t>Groupe E Vainqueur</t>
  </si>
  <si>
    <t>Groupe F Vainqueur</t>
  </si>
  <si>
    <t>Groupe G Vainqueur</t>
  </si>
  <si>
    <t>Groupe H Vainqueur</t>
  </si>
  <si>
    <t>Second Groupe A</t>
  </si>
  <si>
    <t>Second Groupe B</t>
  </si>
  <si>
    <t>Second Groupe C</t>
  </si>
  <si>
    <t>Second Groupe D</t>
  </si>
  <si>
    <t>Second Groupe E</t>
  </si>
  <si>
    <t>Second Groupe F</t>
  </si>
  <si>
    <t>Second Groupe G</t>
  </si>
  <si>
    <t>Second Groupe H</t>
  </si>
  <si>
    <t>Match 53 Vainqueur</t>
  </si>
  <si>
    <t>Match 54 Vainqueur</t>
  </si>
  <si>
    <t>Match 55 Vainqueur</t>
  </si>
  <si>
    <t>Match 56 Vainqueur</t>
  </si>
  <si>
    <t>Match 57 Vainqueur</t>
  </si>
  <si>
    <t>Match 58 Vainqueur</t>
  </si>
  <si>
    <t>Match 59 Vainqueur</t>
  </si>
  <si>
    <t>Match 60 Vainqueur</t>
  </si>
  <si>
    <t>Match 61 Vainqueur</t>
  </si>
  <si>
    <t>Match 62 Vainqueur</t>
  </si>
  <si>
    <t>Match 63 Vainqueur</t>
  </si>
  <si>
    <t>Match 64 Vainqueur</t>
  </si>
  <si>
    <t xml:space="preserve">Joué </t>
  </si>
  <si>
    <t>Gagné</t>
  </si>
  <si>
    <t>Nul</t>
  </si>
  <si>
    <t>Perdu</t>
  </si>
  <si>
    <t>But pour</t>
  </si>
  <si>
    <t>But contre</t>
  </si>
  <si>
    <t>Deuxième place</t>
  </si>
  <si>
    <t>Match 49 Vainqueur</t>
  </si>
  <si>
    <t>Match 50 Vainqueur</t>
  </si>
  <si>
    <t>Match 51 Vainqueur</t>
  </si>
  <si>
    <t>Match 52 Vainqueur</t>
  </si>
  <si>
    <t>Match 61 Perdant</t>
  </si>
  <si>
    <t>Match 62 Perdant</t>
  </si>
  <si>
    <t>მექსიკა</t>
  </si>
  <si>
    <t>ურუგვაი</t>
  </si>
  <si>
    <t>საფრანგეთი</t>
  </si>
  <si>
    <t>არგენტინა</t>
  </si>
  <si>
    <t>ნიგერია</t>
  </si>
  <si>
    <t>სამხრეთ კორეა</t>
  </si>
  <si>
    <t>საბერძნეთი</t>
  </si>
  <si>
    <t>ინგლისი</t>
  </si>
  <si>
    <t>აშშ</t>
  </si>
  <si>
    <t>ალჟირი</t>
  </si>
  <si>
    <t>გერმანია</t>
  </si>
  <si>
    <t>ავსტრალია</t>
  </si>
  <si>
    <t>განა</t>
  </si>
  <si>
    <t>ჰოლანდია</t>
  </si>
  <si>
    <t>იაპონია</t>
  </si>
  <si>
    <t>კამერუნი</t>
  </si>
  <si>
    <t>იტალია</t>
  </si>
  <si>
    <t>ბრაზილია</t>
  </si>
  <si>
    <t>კოტ-დ'ივუარი</t>
  </si>
  <si>
    <t>პორტუგალია</t>
  </si>
  <si>
    <t>ესპანეთი</t>
  </si>
  <si>
    <t>შვეიცარია</t>
  </si>
  <si>
    <t>ჰონდურასი</t>
  </si>
  <si>
    <t>ჩილე</t>
  </si>
  <si>
    <t>ენა</t>
  </si>
  <si>
    <t>სასაათო სარტყელი</t>
  </si>
  <si>
    <t>ჯგუფური ეტაპი</t>
  </si>
  <si>
    <t>მატჩები</t>
  </si>
  <si>
    <t>მდგომარეობა</t>
  </si>
  <si>
    <t>ჯგუფი</t>
  </si>
  <si>
    <t>თარიღი</t>
  </si>
  <si>
    <t>ქვეყანა</t>
  </si>
  <si>
    <t>ანგარიში</t>
  </si>
  <si>
    <t>დრო</t>
  </si>
  <si>
    <t>მერვედფინალი</t>
  </si>
  <si>
    <t>მეოთხედფინალი</t>
  </si>
  <si>
    <t>ნახევარფინალი</t>
  </si>
  <si>
    <t>მატჩი მესამე ადგილისთვის</t>
  </si>
  <si>
    <t>ფინალი</t>
  </si>
  <si>
    <t>გამარჯვებული</t>
  </si>
  <si>
    <t>მეორე ადგილი</t>
  </si>
  <si>
    <t>ძირითადი დრო</t>
  </si>
  <si>
    <t>დამატებითი დრო</t>
  </si>
  <si>
    <t>პენალტების სერია</t>
  </si>
  <si>
    <t>ჩემპიონი</t>
  </si>
  <si>
    <t>მატჩი #</t>
  </si>
  <si>
    <t>ჯგუფი A-ს გამარჯვებული</t>
  </si>
  <si>
    <t>ჯგუფი B-ს გამარჯვებული</t>
  </si>
  <si>
    <t>ჯგუფი C-ს გამარჯვებული</t>
  </si>
  <si>
    <t>ჯგუფი D-ს გამარჯვებული</t>
  </si>
  <si>
    <t>ჯგუფი E-ს გამარჯვებული</t>
  </si>
  <si>
    <t>ჯგუფი F-ს გამარჯვებული</t>
  </si>
  <si>
    <t>ჯგუფი G-ს გამარჯვებული</t>
  </si>
  <si>
    <t>ჯგუფი H-ს გამარჯვებული</t>
  </si>
  <si>
    <t>ჯგუფი A-ს მეორე ადგილი</t>
  </si>
  <si>
    <t>ჯგუფი B-ს მეორე ადგილი</t>
  </si>
  <si>
    <t>ჯგუფი C-ს მეორე ადგილი</t>
  </si>
  <si>
    <t>ჯგუფი D-ს მეორე ადგილი</t>
  </si>
  <si>
    <t>ჯგუფი E-ს მეორე ადგილი</t>
  </si>
  <si>
    <t>ჯგუფი F-ს მეორე ადგილი</t>
  </si>
  <si>
    <t>ჯგუფი G-ს მეორე ადგილი</t>
  </si>
  <si>
    <t>ჯგუფი H-ს მეორე ადგილი</t>
  </si>
  <si>
    <t>53-ე მატჩის გამარჯვებული</t>
  </si>
  <si>
    <t>54-ე მატჩის გამარჯვებული</t>
  </si>
  <si>
    <t>55-ე მატჩის გამარჯვებული</t>
  </si>
  <si>
    <t>56-ე მატჩის გამარჯვებული</t>
  </si>
  <si>
    <t>57-ე მატჩის გამარჯვებული</t>
  </si>
  <si>
    <t>58-ე მატჩის გამარჯვებული</t>
  </si>
  <si>
    <t>59-ე მატჩის გამარჯვებული</t>
  </si>
  <si>
    <t>60-ე მატჩის გამარჯვებული</t>
  </si>
  <si>
    <t>61-ე მატჩის გამარჯვებული</t>
  </si>
  <si>
    <t>62-ე მატჩის გამარჯვებული</t>
  </si>
  <si>
    <t>63-ე მატჩის გამარჯვებული</t>
  </si>
  <si>
    <t>64-ე მატჩის გამარჯვებული</t>
  </si>
  <si>
    <t xml:space="preserve">თამაში </t>
  </si>
  <si>
    <t>მოგება</t>
  </si>
  <si>
    <t xml:space="preserve">ფრე </t>
  </si>
  <si>
    <t xml:space="preserve">წაგება </t>
  </si>
  <si>
    <t xml:space="preserve">გატანილი გოლები </t>
  </si>
  <si>
    <t xml:space="preserve">გაშვებული გოლები </t>
  </si>
  <si>
    <t xml:space="preserve">ქულა </t>
  </si>
  <si>
    <t>ჯგუფი A</t>
  </si>
  <si>
    <t>ჯგუფი B</t>
  </si>
  <si>
    <t>ჯგუფი C</t>
  </si>
  <si>
    <t>ჯგუფი D</t>
  </si>
  <si>
    <t>ჯგუფი E</t>
  </si>
  <si>
    <t>ჯგუფი F</t>
  </si>
  <si>
    <t>ჯგუფი G</t>
  </si>
  <si>
    <t>ჯგუფი H</t>
  </si>
  <si>
    <t>49-ე მატჩის გამარჯვებული</t>
  </si>
  <si>
    <t>50-ე მატჩის გამარჯვებული</t>
  </si>
  <si>
    <t>51-ე მატჩის გამარჯვებული</t>
  </si>
  <si>
    <t>52-ე მატჩის გამარჯვებული</t>
  </si>
  <si>
    <t>61-ე მატჩში დამარცხებული</t>
  </si>
  <si>
    <t>62-ე მატჩში დამარცხებული</t>
  </si>
  <si>
    <t>Νότιος Κορέα</t>
  </si>
  <si>
    <t>Στάδιο των Γκρούπ</t>
  </si>
  <si>
    <t>Βαθμολογία</t>
  </si>
  <si>
    <t>Γκρούπ</t>
  </si>
  <si>
    <t>Ώρα</t>
  </si>
  <si>
    <t>Προημιτελικά</t>
  </si>
  <si>
    <t>Ημιτελικά</t>
  </si>
  <si>
    <t>Αγώνας για Τρίτη Θέση</t>
  </si>
  <si>
    <t>Πέναλτυ</t>
  </si>
  <si>
    <t>Мексик</t>
  </si>
  <si>
    <t>Урагвай</t>
  </si>
  <si>
    <t>Франц</t>
  </si>
  <si>
    <t>Нигери</t>
  </si>
  <si>
    <t>БНСУ</t>
  </si>
  <si>
    <t>Грек</t>
  </si>
  <si>
    <t>Англи</t>
  </si>
  <si>
    <t>АНУ</t>
  </si>
  <si>
    <t>Герман</t>
  </si>
  <si>
    <t>Австрали</t>
  </si>
  <si>
    <t>Нидерланд</t>
  </si>
  <si>
    <t>Япон</t>
  </si>
  <si>
    <t>Итали</t>
  </si>
  <si>
    <t>Бразил</t>
  </si>
  <si>
    <t>Зааны ясан эрэг</t>
  </si>
  <si>
    <t>Португал</t>
  </si>
  <si>
    <t>Испани</t>
  </si>
  <si>
    <t>Швейцар</t>
  </si>
  <si>
    <t>Хэл</t>
  </si>
  <si>
    <t>Цагийн бүс</t>
  </si>
  <si>
    <t>Хэсгийн тоглолт</t>
  </si>
  <si>
    <t>Тоглолтууд</t>
  </si>
  <si>
    <t>Хүснэгт</t>
  </si>
  <si>
    <t>Хэсэг</t>
  </si>
  <si>
    <t>Огноо</t>
  </si>
  <si>
    <t>Улс</t>
  </si>
  <si>
    <t>Iran</t>
  </si>
  <si>
    <t>Belgium</t>
  </si>
  <si>
    <t>Bosnia-Herzegovina</t>
  </si>
  <si>
    <t>Colombia</t>
  </si>
  <si>
    <t>Ecuador</t>
  </si>
  <si>
    <t>World Cup 2014 Schedule and Scoresheet</t>
  </si>
  <si>
    <t>World Cup 2014 Bylae en score</t>
  </si>
  <si>
    <t>Kupa Botërore 2014 - Orari dhe rezultatet</t>
  </si>
  <si>
    <t>جدول ونتائج نهائيات كأس العالم 2014</t>
  </si>
  <si>
    <t>Световно първенство 2014 График и бланката</t>
  </si>
  <si>
    <t>Copa del Món de 2014 Horari i Puntuacions</t>
  </si>
  <si>
    <t>2014年世界杯比赛时间表和计分表</t>
  </si>
  <si>
    <t>2014年世界盃賽程表</t>
  </si>
  <si>
    <t>World Cup 2014 Schedule i Scoresheet</t>
  </si>
  <si>
    <t>World Cup 2014 Kampprogram og Stillinger</t>
  </si>
  <si>
    <t>Wereldkampioenschap 2014 Schema en Scorebord</t>
  </si>
  <si>
    <t>Jalkapallon MM 2014: otteluohjelma ja tulokset</t>
  </si>
  <si>
    <t>Programme et Feuille de match de la Coupe du Monde 2014</t>
  </si>
  <si>
    <t>2014 წლის მსოფლიო ჩემპიონატის განრიგი და ცხრილი</t>
  </si>
  <si>
    <t>Weltmeisterschaft 2014 Spielplan und Ergebnisse</t>
  </si>
  <si>
    <t>Πρόγραμμα και Βαθμολογία Παγκοσμίου Κυπέλλου 2014</t>
  </si>
  <si>
    <t xml:space="preserve">גביע העולם 2014 - משחקי ולוח תוצאות </t>
  </si>
  <si>
    <t>2014-es világbajnokság menetrend és ponttáblázat</t>
  </si>
  <si>
    <t>Jadwal Pertandingan dan Lembar Skor Piala Dunia 2014</t>
  </si>
  <si>
    <t>Heimsmeistarakeppni 2014 tíma og stigatafla</t>
  </si>
  <si>
    <t>Coppa del Mondo 2014 programma e risultati</t>
  </si>
  <si>
    <t>ワールドカップ2014のスケジュールと得点</t>
  </si>
  <si>
    <t>2014 독일 월드컵 일정 및 Scoresheet</t>
  </si>
  <si>
    <t>World Cup 2014 Užimtumo ir varžybos</t>
  </si>
  <si>
    <t>Распоред за Светското Првенство 2014</t>
  </si>
  <si>
    <t>Jadual Piala Dunia 2014 dan Keputusan</t>
  </si>
  <si>
    <t>ވޯރޑްކަޕް 2014 - ޝެޑިއުލް އަދި ސްކޯ ތާވަލް</t>
  </si>
  <si>
    <t>Дэлхийн Цом 2014 хуваарь, онооны хүснэгт</t>
  </si>
  <si>
    <t>Fotball-VM 2014 Kampprogram og Resultatliste</t>
  </si>
  <si>
    <t>برنامه و جدول نتایج بازیهای جام جهانی 2014</t>
  </si>
  <si>
    <t>Mistrzostwa Swiata 2014 Program i Lista wynikow</t>
  </si>
  <si>
    <t>Tabela da Copa do Mundo 2014</t>
  </si>
  <si>
    <t>Campeonato Mundial 2014 Horários e Resultados</t>
  </si>
  <si>
    <t>Programul si Scorurile Cupei Mondiale 2014</t>
  </si>
  <si>
    <t>Расписание и таблица Чемпионата мира 2014</t>
  </si>
  <si>
    <t>Светско првенство 2014 Распореди и Сцоресхеет</t>
  </si>
  <si>
    <t>Program a výsledky MS 2014</t>
  </si>
  <si>
    <t>Copa del Mundo de 2014, Horario y Puntuaciones</t>
  </si>
  <si>
    <t>Copa del Mundo 2014 Horario y Resultados</t>
  </si>
  <si>
    <t>VM 2014 spelplan och resultat</t>
  </si>
  <si>
    <t>กำหนดการแข่งขันและตารางคะแนนฟุตบอลโลก 2014</t>
  </si>
  <si>
    <t>2014 Dünya Kupası Takvim ve Skor Tablosu</t>
  </si>
  <si>
    <t>Чемпіонат світу з футболу 2014. Розклад ігр та становище команд</t>
  </si>
  <si>
    <t>Lịch Thi Đấu và Bảng Tỷ Số World Cup 2014</t>
  </si>
  <si>
    <t>World Cup 2014 Champion</t>
  </si>
  <si>
    <t>World Cup 2014 Kampioen</t>
  </si>
  <si>
    <t>Kampion i Kupës Botërore 2014</t>
  </si>
  <si>
    <t>بطل العالم لكرة القدم 2014</t>
  </si>
  <si>
    <t>Световно първенство 2014 Шампион</t>
  </si>
  <si>
    <t>Campió de la Copa del Món 2014</t>
  </si>
  <si>
    <t>2014年世界杯冠军</t>
  </si>
  <si>
    <t>2014年世界杯冠軍</t>
  </si>
  <si>
    <t>Svjetsko prvenstvo 2014 prvak</t>
  </si>
  <si>
    <t>World Cup 2014 Vinder</t>
  </si>
  <si>
    <t>Wereldkampioenschap 2014 Kampioen</t>
  </si>
  <si>
    <t>Maailmanmestari 2014</t>
  </si>
  <si>
    <t xml:space="preserve">Champion Coupe du Monde 2014 </t>
  </si>
  <si>
    <t>2014 წლის მსოფლიო ჩემპიონი</t>
  </si>
  <si>
    <t>Weltmeister 2014</t>
  </si>
  <si>
    <t>Νικητής Παγκοσμίου Κυπέλλου 2014</t>
  </si>
  <si>
    <t>מחזיקי גביע העולם 2014</t>
  </si>
  <si>
    <t>2014 futball világbajnoka</t>
  </si>
  <si>
    <t>Juara Dunia 2014</t>
  </si>
  <si>
    <t xml:space="preserve">Heimsmeistarakeppni 2014 </t>
  </si>
  <si>
    <t>Campione del Mondo 2014</t>
  </si>
  <si>
    <t>ワールドカップ2014チャンピオン</t>
  </si>
  <si>
    <t>2014 독일 월드컵 챔피언</t>
  </si>
  <si>
    <t>Шампион на Светското Првенство 2014</t>
  </si>
  <si>
    <t>Johan Piala Dunia 2014</t>
  </si>
  <si>
    <t>ވޯރޑްކަޕް 2014 ޗެންޕިއަން</t>
  </si>
  <si>
    <t>Дэлхийн Цом 2014 Аварга</t>
  </si>
  <si>
    <t>Vinner Fotball-VM 2014</t>
  </si>
  <si>
    <t>قهرمان جام جهانی 2014</t>
  </si>
  <si>
    <t>Mistrz Swiata 2014</t>
  </si>
  <si>
    <t>Campeão da Copa do Mundo 2014</t>
  </si>
  <si>
    <t>Campeão Mundial 2014</t>
  </si>
  <si>
    <t>Campionul Mondial 2014</t>
  </si>
  <si>
    <t>Чемпион мира 2014</t>
  </si>
  <si>
    <t>Светски куп 2014 победник</t>
  </si>
  <si>
    <t>Majster sveta 2014</t>
  </si>
  <si>
    <t>Campeón de la Copa del Mundo 2014</t>
  </si>
  <si>
    <t xml:space="preserve">Campeón de la Copa del Mundo 2014 </t>
  </si>
  <si>
    <t>Världsmästare 2014</t>
  </si>
  <si>
    <t>แชมป์ฟุตบอลโลก 2014</t>
  </si>
  <si>
    <t>2014 Dünya Kupası Şampiyonu</t>
  </si>
  <si>
    <t>Чемпіон світу з футболу 2014</t>
  </si>
  <si>
    <t>Vô Địch World Cup 2014</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</si>
  <si>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</si>
  <si>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</si>
  <si>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</si>
  <si>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</si>
  <si>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</si>
  <si>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</si>
  <si>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</si>
  <si>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</si>
  <si>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</si>
  <si>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</si>
  <si>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</si>
  <si>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</si>
  <si>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</si>
  <si>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</si>
  <si>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</si>
  <si>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</si>
  <si>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</si>
  <si>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</si>
  <si>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</si>
  <si>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</si>
  <si>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</si>
  <si>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</si>
  <si>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</si>
  <si>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</si>
  <si>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</si>
  <si>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</si>
  <si>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</si>
  <si>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</si>
  <si>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</si>
  <si>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</si>
  <si>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</si>
  <si>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</si>
  <si>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Kolumbi</t>
  </si>
  <si>
    <t>كولومبيا</t>
  </si>
  <si>
    <t>Колумбия</t>
  </si>
  <si>
    <t>Colòmbia</t>
  </si>
  <si>
    <t>哥伦比亚</t>
  </si>
  <si>
    <t>哥倫比亞</t>
  </si>
  <si>
    <t>Kolumbija</t>
  </si>
  <si>
    <t>Kolumbia</t>
  </si>
  <si>
    <t>Colombie</t>
  </si>
  <si>
    <t>კოლუმბიის</t>
  </si>
  <si>
    <t>Kolumbien</t>
  </si>
  <si>
    <t>Κολομβία</t>
  </si>
  <si>
    <t>קולומביה</t>
  </si>
  <si>
    <t>Kólumbía</t>
  </si>
  <si>
    <t>コロンビア</t>
  </si>
  <si>
    <t>콜롬비아</t>
  </si>
  <si>
    <t>Колумбија</t>
  </si>
  <si>
    <t>Kolombja</t>
  </si>
  <si>
    <t>کلمبیا</t>
  </si>
  <si>
    <t>Colômbia</t>
  </si>
  <si>
    <t>Columbia</t>
  </si>
  <si>
    <t>kolumbia</t>
  </si>
  <si>
    <t>ประเทศโคลอมเบีย</t>
  </si>
  <si>
    <t>Kolombiya</t>
  </si>
  <si>
    <t>Колумбія</t>
  </si>
  <si>
    <t>België</t>
  </si>
  <si>
    <t>Belgjikë</t>
  </si>
  <si>
    <t>بلجيكا</t>
  </si>
  <si>
    <t>Белгия</t>
  </si>
  <si>
    <t>Bèlgica</t>
  </si>
  <si>
    <t>比利时</t>
  </si>
  <si>
    <t>比利時</t>
  </si>
  <si>
    <t>Belgija</t>
  </si>
  <si>
    <t>Belgien</t>
  </si>
  <si>
    <t>Belgia</t>
  </si>
  <si>
    <t>Belgique</t>
  </si>
  <si>
    <t>ბელგიის</t>
  </si>
  <si>
    <t>Βέλγιο</t>
  </si>
  <si>
    <t>בלגיה</t>
  </si>
  <si>
    <t>Belgía</t>
  </si>
  <si>
    <t>Belgio</t>
  </si>
  <si>
    <t>ベルギー</t>
  </si>
  <si>
    <t>벨기에</t>
  </si>
  <si>
    <t>Белгија</t>
  </si>
  <si>
    <t>Belġju</t>
  </si>
  <si>
    <t>بلژیک</t>
  </si>
  <si>
    <t>Bélgica</t>
  </si>
  <si>
    <t>Бельгия</t>
  </si>
  <si>
    <t>belgicko</t>
  </si>
  <si>
    <t>เบลเยี่ยม</t>
  </si>
  <si>
    <t>Belçika</t>
  </si>
  <si>
    <t>Бельгія</t>
  </si>
  <si>
    <t>Bỉ</t>
  </si>
  <si>
    <t>Ekuador</t>
  </si>
  <si>
    <t>الاكوادور</t>
  </si>
  <si>
    <t>Еквадор</t>
  </si>
  <si>
    <t>equador</t>
  </si>
  <si>
    <t>厄瓜多尔</t>
  </si>
  <si>
    <t>厄瓜多爾</t>
  </si>
  <si>
    <t>Ekvador</t>
  </si>
  <si>
    <t>Equateur</t>
  </si>
  <si>
    <t>ეკვადორის</t>
  </si>
  <si>
    <t>Εκουαδόρ</t>
  </si>
  <si>
    <t>אקוודור</t>
  </si>
  <si>
    <t>エクアドル</t>
  </si>
  <si>
    <t>에콰도르</t>
  </si>
  <si>
    <t>Ekvadoras</t>
  </si>
  <si>
    <t>Ekwador</t>
  </si>
  <si>
    <t>اکوادور</t>
  </si>
  <si>
    <t>Equador</t>
  </si>
  <si>
    <t>Эквадор</t>
  </si>
  <si>
    <t>Ekvádor</t>
  </si>
  <si>
    <t>เอกวาดอร์</t>
  </si>
  <si>
    <t>Costa Rica</t>
  </si>
  <si>
    <t>Kosta Rika</t>
  </si>
  <si>
    <t>كوستاريكا</t>
  </si>
  <si>
    <t>哥斯达黎加</t>
  </si>
  <si>
    <t>哥斯達黎加</t>
  </si>
  <si>
    <t>Kostarika</t>
  </si>
  <si>
    <t>კოსტა რიკის</t>
  </si>
  <si>
    <t>Κόστα Ρίκα</t>
  </si>
  <si>
    <t>קוסטה ריקה</t>
  </si>
  <si>
    <t>コスタリカ</t>
  </si>
  <si>
    <t>코스타리카</t>
  </si>
  <si>
    <t>Костарика</t>
  </si>
  <si>
    <t>کاستاریکا</t>
  </si>
  <si>
    <t>Kostaryka</t>
  </si>
  <si>
    <t>Коста-Рика</t>
  </si>
  <si>
    <t>COSTA RICA</t>
  </si>
  <si>
    <t>คอสตาริกา</t>
  </si>
  <si>
    <t>Коста-Ріка</t>
  </si>
  <si>
    <t>ايران</t>
  </si>
  <si>
    <t>Иран</t>
  </si>
  <si>
    <t>伊朗</t>
  </si>
  <si>
    <t>ირანის</t>
  </si>
  <si>
    <t>Ιράν</t>
  </si>
  <si>
    <t>אירן</t>
  </si>
  <si>
    <t>Irán</t>
  </si>
  <si>
    <t>Íran</t>
  </si>
  <si>
    <t>イラン</t>
  </si>
  <si>
    <t>이란</t>
  </si>
  <si>
    <t>Iranas</t>
  </si>
  <si>
    <t>ایران</t>
  </si>
  <si>
    <t>Irã</t>
  </si>
  <si>
    <t>อิหร่าน</t>
  </si>
  <si>
    <t>İran</t>
  </si>
  <si>
    <t>Іран</t>
  </si>
  <si>
    <t>Croatia</t>
  </si>
  <si>
    <t>Kroasië</t>
  </si>
  <si>
    <t>Kroacia</t>
  </si>
  <si>
    <t>كرواتيا</t>
  </si>
  <si>
    <t>Хърватия</t>
  </si>
  <si>
    <t>Croàcia</t>
  </si>
  <si>
    <t>克罗地亚</t>
  </si>
  <si>
    <t>克羅地亞</t>
  </si>
  <si>
    <t>Hrvatska</t>
  </si>
  <si>
    <t>Kroatien</t>
  </si>
  <si>
    <t>Kroatië</t>
  </si>
  <si>
    <t>Kroatia</t>
  </si>
  <si>
    <t>Croatie</t>
  </si>
  <si>
    <t>ხორვატია</t>
  </si>
  <si>
    <t xml:space="preserve">Κροατία </t>
  </si>
  <si>
    <t>קרואטיה</t>
  </si>
  <si>
    <t>Horvátország</t>
  </si>
  <si>
    <t>Kroasia</t>
  </si>
  <si>
    <t>Króatía</t>
  </si>
  <si>
    <t>Croazia</t>
  </si>
  <si>
    <t>クロアチア</t>
  </si>
  <si>
    <t>크로아티아</t>
  </si>
  <si>
    <t>Kroatija</t>
  </si>
  <si>
    <t>Хрватска</t>
  </si>
  <si>
    <t>Croatia *</t>
  </si>
  <si>
    <t>Kroazja</t>
  </si>
  <si>
    <t>کرواسی</t>
  </si>
  <si>
    <t>Chorwacja</t>
  </si>
  <si>
    <t>Croácia</t>
  </si>
  <si>
    <t>Хорватия</t>
  </si>
  <si>
    <t>Chorvátsko</t>
  </si>
  <si>
    <t>Hrvaška</t>
  </si>
  <si>
    <t>Croacia</t>
  </si>
  <si>
    <t>kroatien</t>
  </si>
  <si>
    <t>โครเอเชีย</t>
  </si>
  <si>
    <t>Hırvatistan</t>
  </si>
  <si>
    <t>хорватія</t>
  </si>
  <si>
    <t>Bosnië-Herzegowina</t>
  </si>
  <si>
    <t>Bosnje-Hercegovina</t>
  </si>
  <si>
    <t>البوسنة والهرسك</t>
  </si>
  <si>
    <t>Босна и Херцеговина</t>
  </si>
  <si>
    <t>Bòsnia i Hercegovina</t>
  </si>
  <si>
    <t>波斯尼亚和黑塞哥维那</t>
  </si>
  <si>
    <t>波斯尼亞和黑塞哥維那</t>
  </si>
  <si>
    <t>Bosna i Hercegovina</t>
  </si>
  <si>
    <t>Bosnien-Hercegovina</t>
  </si>
  <si>
    <t>Bosnië-Herzegovina</t>
  </si>
  <si>
    <t>Bosnia ja Hertsegovina</t>
  </si>
  <si>
    <t>Bosnie-Herzégovine</t>
  </si>
  <si>
    <t>ბოსნია და ჰერცოგოვინა</t>
  </si>
  <si>
    <t>Bosnien-Herzegowina</t>
  </si>
  <si>
    <t>Βοσνία-Ερζεγοβίνη</t>
  </si>
  <si>
    <t>בוסניה הרצגובינה</t>
  </si>
  <si>
    <t>Bosznia-Hercegovina</t>
  </si>
  <si>
    <t>Bosnía-Hersegóvína</t>
  </si>
  <si>
    <t>Bosnia-Erzegovina</t>
  </si>
  <si>
    <t>ボスニア·ヘルツェゴビナ</t>
  </si>
  <si>
    <t>보스니아 - 헤르체고비나</t>
  </si>
  <si>
    <t>Bosnija ir Hercegovina</t>
  </si>
  <si>
    <t>Bosnia-Hercegovina</t>
  </si>
  <si>
    <t>بوسنی و هرزگوین</t>
  </si>
  <si>
    <t>Bośnia i Hercegowina</t>
  </si>
  <si>
    <t>Bósnia-Herzegovina</t>
  </si>
  <si>
    <t>Bosnia-Herțegovina</t>
  </si>
  <si>
    <t>Босния и Герцеговина</t>
  </si>
  <si>
    <t>Bosna a Hercegovina</t>
  </si>
  <si>
    <t>Bosna in Hercegovina</t>
  </si>
  <si>
    <t>Bosnien och Hercegovina</t>
  </si>
  <si>
    <t>บอสเนีย</t>
  </si>
  <si>
    <t>Bosna-Hersek</t>
  </si>
  <si>
    <t>Боснія і Герцеговина</t>
  </si>
  <si>
    <t>Russia</t>
  </si>
  <si>
    <t>Rusland</t>
  </si>
  <si>
    <t>Rusi</t>
  </si>
  <si>
    <t>روسيا</t>
  </si>
  <si>
    <t>Русия</t>
  </si>
  <si>
    <t>Rússia</t>
  </si>
  <si>
    <t>俄国</t>
  </si>
  <si>
    <t>俄國</t>
  </si>
  <si>
    <t>Rusija</t>
  </si>
  <si>
    <t>Venäjä</t>
  </si>
  <si>
    <t>Russie</t>
  </si>
  <si>
    <t>რუსეთის</t>
  </si>
  <si>
    <t>Russland</t>
  </si>
  <si>
    <t>Ρωσία</t>
  </si>
  <si>
    <t>רוסיה</t>
  </si>
  <si>
    <t>Oroszország</t>
  </si>
  <si>
    <t>Rusia</t>
  </si>
  <si>
    <t>Rússland</t>
  </si>
  <si>
    <t>ロシア</t>
  </si>
  <si>
    <t>러시아</t>
  </si>
  <si>
    <t>Русија</t>
  </si>
  <si>
    <t>Russja</t>
  </si>
  <si>
    <t>روسیه</t>
  </si>
  <si>
    <t>Rosja</t>
  </si>
  <si>
    <t>Россия</t>
  </si>
  <si>
    <t>Rusko</t>
  </si>
  <si>
    <t>Ryssland</t>
  </si>
  <si>
    <t>ประเทศรัสเซีย</t>
  </si>
  <si>
    <t>Rusya</t>
  </si>
  <si>
    <t>Росія</t>
  </si>
  <si>
    <t>Nga</t>
  </si>
  <si>
    <r>
      <t>16</t>
    </r>
    <r>
      <rPr>
        <sz val="10"/>
        <color theme="0"/>
        <rFont val="宋体"/>
        <charset val="134"/>
      </rPr>
      <t>强</t>
    </r>
  </si>
  <si>
    <r>
      <t>90</t>
    </r>
    <r>
      <rPr>
        <sz val="10"/>
        <color theme="0"/>
        <rFont val="宋体"/>
        <charset val="134"/>
      </rPr>
      <t>分钟</t>
    </r>
  </si>
  <si>
    <r>
      <t>A</t>
    </r>
    <r>
      <rPr>
        <sz val="10"/>
        <color theme="0"/>
        <rFont val="宋体"/>
        <charset val="134"/>
      </rPr>
      <t>组第一</t>
    </r>
  </si>
  <si>
    <r>
      <t>B</t>
    </r>
    <r>
      <rPr>
        <sz val="10"/>
        <color theme="0"/>
        <rFont val="宋体"/>
        <charset val="134"/>
      </rPr>
      <t>组第一</t>
    </r>
  </si>
  <si>
    <r>
      <t>C</t>
    </r>
    <r>
      <rPr>
        <sz val="10"/>
        <color theme="0"/>
        <rFont val="宋体"/>
        <charset val="134"/>
      </rPr>
      <t>组第一</t>
    </r>
  </si>
  <si>
    <r>
      <t>D</t>
    </r>
    <r>
      <rPr>
        <sz val="10"/>
        <color theme="0"/>
        <rFont val="宋体"/>
        <charset val="134"/>
      </rPr>
      <t>组第一</t>
    </r>
  </si>
  <si>
    <r>
      <t>E</t>
    </r>
    <r>
      <rPr>
        <sz val="10"/>
        <color theme="0"/>
        <rFont val="宋体"/>
        <charset val="134"/>
      </rPr>
      <t>组第一</t>
    </r>
  </si>
  <si>
    <r>
      <t>F</t>
    </r>
    <r>
      <rPr>
        <sz val="10"/>
        <color theme="0"/>
        <rFont val="宋体"/>
        <charset val="134"/>
      </rPr>
      <t>组第一</t>
    </r>
  </si>
  <si>
    <r>
      <t>G</t>
    </r>
    <r>
      <rPr>
        <sz val="10"/>
        <color theme="0"/>
        <rFont val="宋体"/>
        <charset val="134"/>
      </rPr>
      <t>组第一</t>
    </r>
  </si>
  <si>
    <r>
      <t>H</t>
    </r>
    <r>
      <rPr>
        <sz val="10"/>
        <color theme="0"/>
        <rFont val="宋体"/>
        <charset val="134"/>
      </rPr>
      <t>组第一</t>
    </r>
  </si>
  <si>
    <r>
      <t xml:space="preserve">53 </t>
    </r>
    <r>
      <rPr>
        <sz val="10"/>
        <color theme="0"/>
        <rFont val="宋体"/>
        <charset val="134"/>
      </rPr>
      <t>胜者</t>
    </r>
  </si>
  <si>
    <r>
      <t xml:space="preserve">54 </t>
    </r>
    <r>
      <rPr>
        <sz val="10"/>
        <color theme="0"/>
        <rFont val="宋体"/>
        <charset val="134"/>
      </rPr>
      <t>胜者</t>
    </r>
  </si>
  <si>
    <r>
      <t xml:space="preserve">55 </t>
    </r>
    <r>
      <rPr>
        <sz val="10"/>
        <color theme="0"/>
        <rFont val="宋体"/>
        <charset val="134"/>
      </rPr>
      <t>胜者</t>
    </r>
  </si>
  <si>
    <r>
      <t xml:space="preserve">56 </t>
    </r>
    <r>
      <rPr>
        <sz val="10"/>
        <color theme="0"/>
        <rFont val="宋体"/>
        <charset val="134"/>
      </rPr>
      <t>胜者</t>
    </r>
  </si>
  <si>
    <r>
      <t xml:space="preserve">57 </t>
    </r>
    <r>
      <rPr>
        <sz val="10"/>
        <color theme="0"/>
        <rFont val="宋体"/>
        <charset val="134"/>
      </rPr>
      <t>胜者</t>
    </r>
  </si>
  <si>
    <r>
      <t xml:space="preserve">58 </t>
    </r>
    <r>
      <rPr>
        <sz val="10"/>
        <color theme="0"/>
        <rFont val="宋体"/>
        <charset val="134"/>
      </rPr>
      <t>胜者</t>
    </r>
  </si>
  <si>
    <r>
      <t xml:space="preserve">59 </t>
    </r>
    <r>
      <rPr>
        <sz val="10"/>
        <color theme="0"/>
        <rFont val="宋体"/>
        <charset val="134"/>
      </rPr>
      <t>胜者</t>
    </r>
  </si>
  <si>
    <r>
      <t xml:space="preserve">60 </t>
    </r>
    <r>
      <rPr>
        <sz val="10"/>
        <color theme="0"/>
        <rFont val="宋体"/>
        <charset val="134"/>
      </rPr>
      <t>胜者</t>
    </r>
  </si>
  <si>
    <r>
      <t xml:space="preserve">61 </t>
    </r>
    <r>
      <rPr>
        <sz val="10"/>
        <color theme="0"/>
        <rFont val="宋体"/>
        <charset val="134"/>
      </rPr>
      <t>胜者</t>
    </r>
  </si>
  <si>
    <r>
      <t xml:space="preserve">62 </t>
    </r>
    <r>
      <rPr>
        <sz val="10"/>
        <color theme="0"/>
        <rFont val="宋体"/>
        <charset val="134"/>
      </rPr>
      <t>胜者</t>
    </r>
  </si>
  <si>
    <r>
      <t xml:space="preserve">63 </t>
    </r>
    <r>
      <rPr>
        <sz val="10"/>
        <color theme="0"/>
        <rFont val="宋体"/>
        <charset val="134"/>
      </rPr>
      <t>胜者</t>
    </r>
  </si>
  <si>
    <r>
      <t xml:space="preserve">64 </t>
    </r>
    <r>
      <rPr>
        <sz val="10"/>
        <color theme="0"/>
        <rFont val="宋体"/>
        <charset val="134"/>
      </rPr>
      <t>胜者</t>
    </r>
  </si>
  <si>
    <r>
      <t>A</t>
    </r>
    <r>
      <rPr>
        <sz val="10"/>
        <color theme="0"/>
        <rFont val="宋体"/>
        <charset val="134"/>
      </rPr>
      <t>组</t>
    </r>
  </si>
  <si>
    <r>
      <t>B</t>
    </r>
    <r>
      <rPr>
        <sz val="10"/>
        <color theme="0"/>
        <rFont val="宋体"/>
        <charset val="134"/>
      </rPr>
      <t>组</t>
    </r>
  </si>
  <si>
    <r>
      <t>C</t>
    </r>
    <r>
      <rPr>
        <sz val="10"/>
        <color theme="0"/>
        <rFont val="宋体"/>
        <charset val="134"/>
      </rPr>
      <t>组</t>
    </r>
  </si>
  <si>
    <r>
      <t>D</t>
    </r>
    <r>
      <rPr>
        <sz val="10"/>
        <color theme="0"/>
        <rFont val="宋体"/>
        <charset val="134"/>
      </rPr>
      <t>组</t>
    </r>
  </si>
  <si>
    <r>
      <t>E</t>
    </r>
    <r>
      <rPr>
        <sz val="10"/>
        <color theme="0"/>
        <rFont val="宋体"/>
        <charset val="134"/>
      </rPr>
      <t>组</t>
    </r>
  </si>
  <si>
    <r>
      <t>F</t>
    </r>
    <r>
      <rPr>
        <sz val="10"/>
        <color theme="0"/>
        <rFont val="宋体"/>
        <charset val="134"/>
      </rPr>
      <t>组</t>
    </r>
  </si>
  <si>
    <r>
      <t>G</t>
    </r>
    <r>
      <rPr>
        <sz val="10"/>
        <color theme="0"/>
        <rFont val="宋体"/>
        <charset val="134"/>
      </rPr>
      <t>组</t>
    </r>
  </si>
  <si>
    <r>
      <t>H</t>
    </r>
    <r>
      <rPr>
        <sz val="10"/>
        <color theme="0"/>
        <rFont val="宋体"/>
        <charset val="134"/>
      </rPr>
      <t>组</t>
    </r>
  </si>
  <si>
    <r>
      <t xml:space="preserve">49 </t>
    </r>
    <r>
      <rPr>
        <sz val="10"/>
        <color theme="0"/>
        <rFont val="宋体"/>
        <charset val="134"/>
      </rPr>
      <t>胜者</t>
    </r>
  </si>
  <si>
    <r>
      <t xml:space="preserve">50 </t>
    </r>
    <r>
      <rPr>
        <sz val="10"/>
        <color theme="0"/>
        <rFont val="宋体"/>
        <charset val="134"/>
      </rPr>
      <t>胜者</t>
    </r>
  </si>
  <si>
    <r>
      <t xml:space="preserve">51 </t>
    </r>
    <r>
      <rPr>
        <sz val="10"/>
        <color theme="0"/>
        <rFont val="宋体"/>
        <charset val="134"/>
      </rPr>
      <t>胜者</t>
    </r>
  </si>
  <si>
    <r>
      <t xml:space="preserve">52 </t>
    </r>
    <r>
      <rPr>
        <sz val="10"/>
        <color theme="0"/>
        <rFont val="宋体"/>
        <charset val="134"/>
      </rPr>
      <t>胜者</t>
    </r>
  </si>
  <si>
    <r>
      <t xml:space="preserve">61 </t>
    </r>
    <r>
      <rPr>
        <sz val="10"/>
        <color theme="0"/>
        <rFont val="宋体"/>
        <charset val="134"/>
      </rPr>
      <t>负者</t>
    </r>
  </si>
  <si>
    <r>
      <t xml:space="preserve">62 </t>
    </r>
    <r>
      <rPr>
        <sz val="10"/>
        <color theme="0"/>
        <rFont val="宋体"/>
        <charset val="134"/>
      </rPr>
      <t>负者</t>
    </r>
  </si>
  <si>
    <t>SOCCER LEAGUE CREATOR</t>
  </si>
  <si>
    <t>This is the template to emulate Italian Serie A,Spanish La Liga, Bundesliga etc. It will allow you to create your own soccer competition or emulate any soccer competition in the world based on common tie-breaker regulation. Download and try the lite version to understand the template.</t>
  </si>
  <si>
    <t>Price</t>
  </si>
  <si>
    <t>Payment Method</t>
  </si>
  <si>
    <t>Excelindo Soccer League Creator Lite (with Fixtures Generator)</t>
  </si>
  <si>
    <t>Free</t>
  </si>
  <si>
    <t>Download</t>
  </si>
  <si>
    <t>Excelindo Soccer League Creator Lite (without Fixtures Generator)</t>
  </si>
  <si>
    <t>Excelindo Soccer League Creator Pro</t>
  </si>
  <si>
    <t>USD 15.99</t>
  </si>
  <si>
    <t>Excelindo Soccer League Creator Pro Password (For layout customization on shown worksheets)</t>
  </si>
  <si>
    <t>USD 5.99</t>
  </si>
  <si>
    <t>SOCCER TOURNAMENT CREATOR</t>
  </si>
  <si>
    <t>This is the template to emulate European Champions League competition. It will allow you to create your own soccer tournament or emulate any soccer tournament in the world based on common tie-breaker regulation. Download and try the lite version to understand the template.</t>
  </si>
  <si>
    <t>Excelindo Soccer Tournament Creator Lite (with Fixtures Generator)</t>
  </si>
  <si>
    <t>Excelindo Soccer Tournament Creator Lite (without Fixtures Generator)</t>
  </si>
  <si>
    <t>Excelindo Soccer Tournament Creator Pro (all shown worksheets are unlocked)</t>
  </si>
  <si>
    <t>USD 20.99</t>
  </si>
  <si>
    <t>EUROPEAN FOOTBALL LEAGUE FIXTURES AND SCORESHEET</t>
  </si>
  <si>
    <t>If you just want to emulate top 4 Europe Football League, or just want to copy it to other leagues with related league tie-breaker regulation, you can purchase the unlocked one. You can use it for future competition as long as the regulation is not changed.</t>
  </si>
  <si>
    <t>Italian Serie A 2013/2014</t>
  </si>
  <si>
    <t>Spanish La Liga 2013/2014</t>
  </si>
  <si>
    <t>Bundesliga 2013/2014</t>
  </si>
  <si>
    <t>French Ligue 1 2013/2014</t>
  </si>
  <si>
    <t>Serie A - La Liga - Bundesliga - Ligue 1 unlocked</t>
  </si>
  <si>
    <t>USD 11.99</t>
  </si>
  <si>
    <t>CHAMPIONS LEAGUE FIXTURES AND SCORESHEET</t>
  </si>
  <si>
    <t>The unlocked one is built on single code which intended only for Champions League competition. You can learn the code, tweak it or just modify its layout.</t>
  </si>
  <si>
    <t>UEFA Champions League 2013/2014</t>
  </si>
  <si>
    <t>UEFA Champions League 2013/2014 - unlocked</t>
  </si>
  <si>
    <t>USD 10</t>
  </si>
  <si>
    <r>
      <t xml:space="preserve">Notes : </t>
    </r>
    <r>
      <rPr>
        <u/>
        <sz val="10"/>
        <rFont val="Calibri"/>
        <family val="2"/>
        <scheme val="minor"/>
      </rPr>
      <t>Prices are subject to change without prior notice</t>
    </r>
  </si>
  <si>
    <t>WORLD CUP SCHEDULE AND SCORESHEET</t>
  </si>
  <si>
    <t>WORLD CUP OFFICE POOL</t>
  </si>
  <si>
    <t>This is the template that is designed to help you managing pool competition among your friends, colleagues, relatives etc. There are up until 100 people can be involved in this prediction game from the start until the end of World Cup tournament</t>
  </si>
  <si>
    <t>FIFA World Cup 2014 Office Pool Lite - Up to 15 Players</t>
  </si>
  <si>
    <t>USD 8.99</t>
  </si>
  <si>
    <t>FIFA World Cup 2014 Office Pool Pro - Up to 100 Players - unlocked</t>
  </si>
  <si>
    <t>FOOTBALL FORMATION CREATOR</t>
  </si>
  <si>
    <t>FOOTBALL STAR PHOTO CALENDAR CREATOR</t>
  </si>
  <si>
    <t>This is the template to emulate your player position in football field.</t>
  </si>
  <si>
    <t xml:space="preserve">This is the template that will help you create your own photo calendar. You can put your favorite team star or 12 players of your choice as calendar background. With capability to customize its date to suit your agenda, it should become your calendar best choice </t>
  </si>
  <si>
    <t>Football Formation Creator Lite - 3 Non Customized templates with Premade Formation (4-4-2, 4-4-2 Diamond, 4-3-3)</t>
  </si>
  <si>
    <t>Photo Calendar Creator Lite - 1 Model (Single Photo only)</t>
  </si>
  <si>
    <t>Football Formation Creator Pro - 10 Customized templates with Premade Formation</t>
  </si>
  <si>
    <t>USD 6.99</t>
  </si>
  <si>
    <t>Photo Calendar Creator Pro - 3 Models (Single Photo Landscape, 12 Photos Landscape, 12 Photos Portrait)</t>
  </si>
  <si>
    <t>USD 5</t>
  </si>
  <si>
    <t>The unlocked one is built on single code which intended only for World Cup competition. You can learn the code, tweak it or just modify its layout. Only template with National Flag is unlocked since all are sharing the same formula</t>
  </si>
  <si>
    <t>FIFA World Cup 2014 Schedule and Scoresheet with National Flag</t>
  </si>
  <si>
    <t>FIFA World Cup 2014 Schedule and Scoresheet with National Flag - unlocked</t>
  </si>
  <si>
    <t>mexico</t>
  </si>
  <si>
    <t>slonokoščena obala</t>
  </si>
  <si>
    <t>ZDA</t>
  </si>
  <si>
    <t>Faze Group</t>
  </si>
  <si>
    <t>Tekme</t>
  </si>
  <si>
    <t>Lestvica</t>
  </si>
  <si>
    <t>skupina</t>
  </si>
  <si>
    <t>ocena</t>
  </si>
  <si>
    <t>čas</t>
  </si>
  <si>
    <t>Okrogla dne 16.</t>
  </si>
  <si>
    <t>četrtfinala</t>
  </si>
  <si>
    <t>polfinala</t>
  </si>
  <si>
    <t>final</t>
  </si>
  <si>
    <t>runner up</t>
  </si>
  <si>
    <t>normalno čas</t>
  </si>
  <si>
    <t>Extra čas</t>
  </si>
  <si>
    <t>Penalov</t>
  </si>
  <si>
    <t>prvak</t>
  </si>
  <si>
    <t>Zmagovalec skupine</t>
  </si>
  <si>
    <t>B Zmagovalec skupine</t>
  </si>
  <si>
    <t>Skupina C Zmagovalec</t>
  </si>
  <si>
    <t>Skupina E zmagovalec</t>
  </si>
  <si>
    <t>Skupina F zmagovalec</t>
  </si>
  <si>
    <t>Skupina G Zmagovalec</t>
  </si>
  <si>
    <t>H zmagovalec Skupina</t>
  </si>
  <si>
    <t>SkupinaRunner Up</t>
  </si>
  <si>
    <t>Igrano</t>
  </si>
  <si>
    <t>win</t>
  </si>
  <si>
    <t>neodločeno</t>
  </si>
  <si>
    <t>Ekipo za</t>
  </si>
  <si>
    <t>Ekipo proti</t>
  </si>
  <si>
    <t>drugo mesto</t>
  </si>
  <si>
    <t>skupina B</t>
  </si>
  <si>
    <t>skupina C</t>
  </si>
  <si>
    <t>skupina D</t>
  </si>
  <si>
    <t>skupina E</t>
  </si>
  <si>
    <t>skupina F</t>
  </si>
  <si>
    <t>skupina G</t>
  </si>
  <si>
    <t>skupina H</t>
  </si>
  <si>
    <t>Match 61 zguba</t>
  </si>
  <si>
    <t>Match 62 zguba</t>
  </si>
  <si>
    <t>Svetovni pokal 2014 Urnik in zapisnik</t>
  </si>
  <si>
    <t>Svetovno prvenstvo 2014 Champion</t>
  </si>
  <si>
    <t>Match 52 zguba</t>
  </si>
  <si>
    <t>Match 51 zguba</t>
  </si>
  <si>
    <t>Match 50 zguba</t>
  </si>
  <si>
    <t>Match 49 zguba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</si>
</sst>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h:mm;@"/>
    <numFmt numFmtId="166" formatCode="m/d/yy\ h:mm;@"/>
  </numFmts>
  <fonts count="24">
    <font>
      <sz val="10"/>
      <name val="Arial"/>
    </font>
    <font>
      <sz val="8"/>
      <name val="Arial"/>
      <family val="2"/>
    </font>
    <font>
      <u/>
      <sz val="10"/>
      <color indexed="12"/>
      <name val="Arial"/>
      <family val="2"/>
    </font>
    <font>
      <sz val="10"/>
      <color rgb="FFFF0000"/>
      <name val="Calibri"/>
      <family val="2"/>
      <scheme val="minor"/>
    </font>
    <font>
      <sz val="10"/>
      <name val="Calibri"/>
      <family val="2"/>
      <scheme val="minor"/>
    </font>
    <font>
      <sz val="10"/>
      <color indexed="10"/>
      <name val="Calibri"/>
      <family val="2"/>
      <scheme val="minor"/>
    </font>
    <font>
      <sz val="10"/>
      <color indexed="9"/>
      <name val="Calibri"/>
      <family val="2"/>
      <scheme val="minor"/>
    </font>
    <font>
      <b/>
      <sz val="10"/>
      <name val="Calibri"/>
      <family val="2"/>
      <scheme val="minor"/>
    </font>
    <font>
      <b/>
      <sz val="12"/>
      <color indexed="9"/>
      <name val="Calibri"/>
      <family val="2"/>
      <scheme val="minor"/>
    </font>
    <font>
      <b/>
      <sz val="10"/>
      <color indexed="9"/>
      <name val="Calibri"/>
      <family val="2"/>
      <scheme val="minor"/>
    </font>
    <font>
      <b/>
      <sz val="18"/>
      <name val="Calibri"/>
      <family val="2"/>
      <scheme val="minor"/>
    </font>
    <font>
      <sz val="10"/>
      <color theme="0"/>
      <name val="Calibri"/>
      <family val="2"/>
      <scheme val="minor"/>
    </font>
    <font>
      <b/>
      <sz val="10"/>
      <color theme="0"/>
      <name val="Calibri"/>
      <family val="2"/>
      <scheme val="minor"/>
    </font>
    <font>
      <sz val="11"/>
      <name val="Calibri"/>
      <family val="2"/>
      <scheme val="minor"/>
    </font>
    <font>
      <sz val="11"/>
      <color theme="0"/>
      <name val="Calibri"/>
      <family val="2"/>
      <scheme val="minor"/>
    </font>
    <font>
      <sz val="10"/>
      <color theme="0"/>
      <name val="Arial"/>
      <family val="2"/>
    </font>
    <font>
      <sz val="10"/>
      <color theme="0"/>
      <name val="宋体"/>
      <charset val="134"/>
    </font>
    <font>
      <sz val="10"/>
      <color theme="0"/>
      <name val="Verdana"/>
      <family val="2"/>
    </font>
    <font>
      <b/>
      <sz val="10"/>
      <color theme="0"/>
      <name val="Arial"/>
      <family val="2"/>
    </font>
    <font>
      <sz val="12"/>
      <color theme="0"/>
      <name val="Arial"/>
      <family val="2"/>
    </font>
    <font>
      <b/>
      <sz val="10"/>
      <color theme="0"/>
      <name val="Verdana"/>
      <family val="2"/>
    </font>
    <font>
      <sz val="10"/>
      <name val="Arial"/>
      <family val="2"/>
    </font>
    <font>
      <u/>
      <sz val="10"/>
      <color indexed="12"/>
      <name val="Calibri"/>
      <family val="2"/>
      <scheme val="minor"/>
    </font>
    <font>
      <u/>
      <sz val="10"/>
      <name val="Calibri"/>
      <family val="2"/>
      <scheme val="minor"/>
    </font>
  </fonts>
  <fills count="7">
    <fill>
      <patternFill patternType="none"/>
    </fill>
    <fill>
      <patternFill patternType="gray125"/>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rgb="FF3366FF"/>
        <bgColor indexed="64"/>
      </patternFill>
    </fill>
    <fill>
      <patternFill patternType="solid">
        <fgColor theme="3" tint="-0.249977111117893"/>
        <bgColor indexed="64"/>
      </patternFill>
    </fill>
  </fills>
  <borders count="13">
    <border>
      <left/>
      <right/>
      <top/>
      <bottom/>
      <diagonal/>
    </border>
    <border>
      <left style="thin">
        <color indexed="64"/>
      </left>
      <right/>
      <top/>
      <bottom/>
      <diagonal/>
    </border>
    <border>
      <left/>
      <right style="thin">
        <color indexed="64"/>
      </right>
      <top/>
      <bottom/>
      <diagonal/>
    </border>
    <border>
      <left/>
      <right style="dotted">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164" fontId="21" fillId="0" borderId="0" applyFont="0" applyFill="0" applyBorder="0" applyAlignment="0" applyProtection="0"/>
  </cellStyleXfs>
  <cellXfs count="209">
    <xf numFmtId="0" fontId="0" fillId="0" borderId="0" xfId="0"/>
    <xf numFmtId="0" fontId="3" fillId="0" borderId="0" xfId="0" applyFont="1"/>
    <xf numFmtId="0" fontId="3" fillId="0" borderId="0" xfId="0" applyFont="1" applyProtection="1">
      <protection hidden="1"/>
    </xf>
    <xf numFmtId="0" fontId="3" fillId="0" borderId="0" xfId="0" applyFont="1" applyAlignment="1"/>
    <xf numFmtId="0" fontId="3" fillId="0" borderId="0" xfId="0" applyFont="1" applyAlignment="1" applyProtection="1">
      <protection hidden="1"/>
    </xf>
    <xf numFmtId="0" fontId="3" fillId="0" borderId="0" xfId="0" applyFont="1" applyAlignment="1" applyProtection="1">
      <alignment horizontal="center"/>
      <protection hidden="1"/>
    </xf>
    <xf numFmtId="0" fontId="4" fillId="0" borderId="0" xfId="0" applyFo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5" fillId="0" borderId="0" xfId="0" applyFont="1" applyProtection="1">
      <protection hidden="1"/>
    </xf>
    <xf numFmtId="0" fontId="6" fillId="0" borderId="0" xfId="0" applyFont="1" applyProtection="1">
      <protection hidden="1"/>
    </xf>
    <xf numFmtId="0" fontId="4" fillId="0" borderId="0" xfId="0" applyFont="1" applyAlignment="1" applyProtection="1">
      <alignment horizontal="left" indent="1"/>
      <protection hidden="1"/>
    </xf>
    <xf numFmtId="0" fontId="6" fillId="0" borderId="0" xfId="0" applyFont="1" applyAlignment="1" applyProtection="1">
      <alignment horizontal="center"/>
      <protection hidden="1"/>
    </xf>
    <xf numFmtId="0" fontId="7" fillId="0" borderId="0" xfId="0" applyFont="1" applyProtection="1">
      <protection hidden="1"/>
    </xf>
    <xf numFmtId="0" fontId="5" fillId="0" borderId="0" xfId="0" applyFont="1" applyAlignment="1" applyProtection="1">
      <alignment vertical="center"/>
      <protection hidden="1"/>
    </xf>
    <xf numFmtId="0" fontId="4" fillId="0" borderId="0" xfId="0" applyFont="1" applyAlignment="1" applyProtection="1">
      <alignment horizontal="left" vertical="center" indent="1"/>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Fill="1" applyAlignment="1" applyProtection="1">
      <alignment vertical="center"/>
      <protection hidden="1"/>
    </xf>
    <xf numFmtId="0" fontId="4" fillId="0" borderId="1"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3" xfId="0" applyFont="1" applyBorder="1" applyAlignment="1" applyProtection="1">
      <alignment vertical="center"/>
      <protection hidden="1"/>
    </xf>
    <xf numFmtId="0" fontId="5" fillId="0" borderId="2" xfId="0" applyFont="1" applyBorder="1" applyAlignment="1" applyProtection="1">
      <alignment vertical="center"/>
      <protection hidden="1"/>
    </xf>
    <xf numFmtId="0" fontId="9" fillId="0" borderId="3" xfId="0" applyFont="1" applyFill="1" applyBorder="1" applyAlignment="1" applyProtection="1">
      <alignment horizontal="center" vertical="center"/>
      <protection hidden="1"/>
    </xf>
    <xf numFmtId="0" fontId="4" fillId="0" borderId="2" xfId="0" applyFont="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6" fillId="0" borderId="0" xfId="0" applyFont="1" applyBorder="1" applyAlignment="1" applyProtection="1">
      <alignment horizontal="left" vertical="center" indent="1"/>
      <protection hidden="1"/>
    </xf>
    <xf numFmtId="0" fontId="6" fillId="0" borderId="0" xfId="0" applyFont="1" applyBorder="1" applyAlignment="1" applyProtection="1">
      <alignment horizontal="center" vertical="center"/>
      <protection hidden="1"/>
    </xf>
    <xf numFmtId="0" fontId="5" fillId="0" borderId="0" xfId="0" applyFont="1" applyBorder="1" applyAlignment="1" applyProtection="1">
      <alignment vertical="center"/>
      <protection hidden="1"/>
    </xf>
    <xf numFmtId="0" fontId="5" fillId="0" borderId="0" xfId="0" applyFont="1" applyBorder="1" applyProtection="1">
      <protection hidden="1"/>
    </xf>
    <xf numFmtId="16" fontId="4" fillId="0" borderId="0" xfId="0" applyNumberFormat="1" applyFont="1" applyBorder="1" applyAlignment="1" applyProtection="1">
      <alignment horizontal="right" vertical="center" indent="1" shrinkToFit="1"/>
      <protection hidden="1"/>
    </xf>
    <xf numFmtId="165" fontId="4" fillId="0" borderId="0" xfId="0" applyNumberFormat="1" applyFont="1" applyBorder="1" applyAlignment="1" applyProtection="1">
      <alignment horizontal="right" vertical="center"/>
      <protection hidden="1"/>
    </xf>
    <xf numFmtId="0" fontId="4" fillId="0" borderId="0" xfId="0" applyFont="1" applyBorder="1" applyAlignment="1" applyProtection="1">
      <alignment horizontal="right" vertical="center"/>
      <protection hidden="1"/>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hidden="1"/>
    </xf>
    <xf numFmtId="165" fontId="6" fillId="0" borderId="0" xfId="0" applyNumberFormat="1" applyFont="1" applyBorder="1" applyAlignment="1" applyProtection="1">
      <alignment horizontal="left" vertical="center" indent="1" shrinkToFit="1"/>
      <protection hidden="1"/>
    </xf>
    <xf numFmtId="0" fontId="6" fillId="0" borderId="0" xfId="0" applyFont="1" applyAlignment="1" applyProtection="1">
      <alignment horizontal="center" vertical="center"/>
      <protection hidden="1"/>
    </xf>
    <xf numFmtId="0" fontId="5" fillId="0" borderId="0" xfId="0" applyFont="1" applyFill="1" applyBorder="1" applyAlignment="1" applyProtection="1">
      <alignment vertical="center"/>
      <protection hidden="1"/>
    </xf>
    <xf numFmtId="0" fontId="6" fillId="0" borderId="0" xfId="0" applyFont="1" applyAlignment="1" applyProtection="1">
      <alignment horizontal="left" vertical="center" indent="1"/>
      <protection hidden="1"/>
    </xf>
    <xf numFmtId="0" fontId="4" fillId="0" borderId="1" xfId="0" applyFont="1" applyFill="1" applyBorder="1" applyAlignment="1" applyProtection="1">
      <alignment vertical="center"/>
      <protection hidden="1"/>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9" xfId="0" applyFont="1" applyBorder="1" applyAlignment="1" applyProtection="1">
      <alignment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vertical="center"/>
      <protection hidden="1"/>
    </xf>
    <xf numFmtId="0" fontId="4" fillId="0" borderId="11" xfId="0" applyFont="1" applyFill="1" applyBorder="1" applyAlignment="1" applyProtection="1">
      <alignment vertical="center"/>
      <protection hidden="1"/>
    </xf>
    <xf numFmtId="0" fontId="4" fillId="0" borderId="9" xfId="0" applyFont="1" applyFill="1" applyBorder="1" applyAlignment="1" applyProtection="1">
      <alignment horizontal="right" vertical="center"/>
      <protection hidden="1"/>
    </xf>
    <xf numFmtId="0" fontId="4" fillId="0" borderId="9"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0" fontId="5" fillId="0" borderId="10"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1" xfId="0" applyFont="1" applyBorder="1" applyProtection="1">
      <protection hidden="1"/>
    </xf>
    <xf numFmtId="0" fontId="4" fillId="0" borderId="0" xfId="0" applyFont="1" applyBorder="1" applyProtection="1">
      <protection hidden="1"/>
    </xf>
    <xf numFmtId="0" fontId="4" fillId="0" borderId="0" xfId="0" applyFont="1" applyBorder="1" applyAlignment="1" applyProtection="1">
      <protection hidden="1"/>
    </xf>
    <xf numFmtId="0" fontId="4" fillId="0" borderId="0" xfId="0" applyFont="1" applyBorder="1" applyAlignment="1" applyProtection="1">
      <alignment horizontal="center"/>
      <protection hidden="1"/>
    </xf>
    <xf numFmtId="0" fontId="4" fillId="0" borderId="2" xfId="0" applyFont="1" applyBorder="1" applyProtection="1">
      <protection hidden="1"/>
    </xf>
    <xf numFmtId="0" fontId="4" fillId="0" borderId="2" xfId="0" applyFont="1" applyBorder="1" applyAlignment="1" applyProtection="1">
      <alignment horizontal="left"/>
      <protection hidden="1"/>
    </xf>
    <xf numFmtId="0" fontId="4" fillId="0" borderId="0" xfId="0" applyFont="1" applyBorder="1" applyAlignment="1" applyProtection="1">
      <alignment horizontal="right"/>
      <protection hidden="1"/>
    </xf>
    <xf numFmtId="0" fontId="4" fillId="0" borderId="11" xfId="0" applyFont="1" applyBorder="1" applyProtection="1">
      <protection hidden="1"/>
    </xf>
    <xf numFmtId="0" fontId="4" fillId="0" borderId="9" xfId="0" applyFont="1" applyBorder="1" applyProtection="1">
      <protection hidden="1"/>
    </xf>
    <xf numFmtId="0" fontId="4" fillId="0" borderId="9" xfId="0" applyFont="1" applyBorder="1" applyAlignment="1" applyProtection="1">
      <alignment horizontal="center"/>
      <protection hidden="1"/>
    </xf>
    <xf numFmtId="0" fontId="4" fillId="0" borderId="10" xfId="0" applyFont="1" applyBorder="1" applyProtection="1">
      <protection hidden="1"/>
    </xf>
    <xf numFmtId="0" fontId="4" fillId="0" borderId="9" xfId="0" applyFont="1" applyBorder="1" applyAlignment="1" applyProtection="1">
      <protection hidden="1"/>
    </xf>
    <xf numFmtId="0" fontId="4" fillId="2" borderId="0" xfId="0" applyFont="1" applyFill="1" applyBorder="1" applyAlignment="1" applyProtection="1">
      <alignment vertical="center"/>
      <protection hidden="1"/>
    </xf>
    <xf numFmtId="0" fontId="4" fillId="2" borderId="4" xfId="0" applyFont="1" applyFill="1" applyBorder="1" applyProtection="1">
      <protection hidden="1"/>
    </xf>
    <xf numFmtId="0" fontId="4" fillId="2" borderId="7" xfId="0" applyFont="1" applyFill="1" applyBorder="1" applyProtection="1">
      <protection hidden="1"/>
    </xf>
    <xf numFmtId="0" fontId="4" fillId="2" borderId="7" xfId="0" applyFont="1" applyFill="1" applyBorder="1" applyAlignment="1" applyProtection="1">
      <protection hidden="1"/>
    </xf>
    <xf numFmtId="0" fontId="4" fillId="2" borderId="7" xfId="0" applyFont="1" applyFill="1" applyBorder="1" applyAlignment="1" applyProtection="1">
      <alignment horizontal="center"/>
      <protection hidden="1"/>
    </xf>
    <xf numFmtId="0" fontId="5" fillId="2" borderId="0" xfId="0" applyFont="1" applyFill="1" applyBorder="1" applyAlignment="1" applyProtection="1">
      <alignment vertical="center"/>
      <protection hidden="1"/>
    </xf>
    <xf numFmtId="0" fontId="4" fillId="2" borderId="1" xfId="0" applyFont="1" applyFill="1" applyBorder="1" applyProtection="1">
      <protection hidden="1"/>
    </xf>
    <xf numFmtId="0" fontId="4" fillId="2" borderId="0" xfId="0" applyFont="1" applyFill="1" applyBorder="1" applyProtection="1">
      <protection hidden="1"/>
    </xf>
    <xf numFmtId="0" fontId="9" fillId="2" borderId="0" xfId="0" applyFont="1" applyFill="1" applyBorder="1" applyAlignment="1" applyProtection="1">
      <alignment vertical="center"/>
      <protection hidden="1"/>
    </xf>
    <xf numFmtId="0" fontId="4" fillId="2" borderId="0" xfId="0" applyFont="1" applyFill="1" applyBorder="1" applyAlignment="1" applyProtection="1">
      <protection hidden="1"/>
    </xf>
    <xf numFmtId="0" fontId="4" fillId="2" borderId="0" xfId="0" applyFont="1" applyFill="1" applyBorder="1" applyAlignment="1" applyProtection="1">
      <alignment horizontal="center"/>
      <protection hidden="1"/>
    </xf>
    <xf numFmtId="0" fontId="10" fillId="2" borderId="0" xfId="0" applyFont="1" applyFill="1" applyBorder="1" applyAlignment="1" applyProtection="1">
      <alignment horizontal="left" vertical="center"/>
      <protection hidden="1"/>
    </xf>
    <xf numFmtId="0" fontId="4" fillId="2" borderId="11" xfId="0" applyFont="1" applyFill="1" applyBorder="1" applyProtection="1">
      <protection hidden="1"/>
    </xf>
    <xf numFmtId="0" fontId="4" fillId="2" borderId="9" xfId="0" applyFont="1" applyFill="1" applyBorder="1" applyProtection="1">
      <protection hidden="1"/>
    </xf>
    <xf numFmtId="0" fontId="4" fillId="2" borderId="9" xfId="0" applyFont="1" applyFill="1" applyBorder="1" applyAlignment="1" applyProtection="1">
      <protection hidden="1"/>
    </xf>
    <xf numFmtId="0" fontId="4" fillId="2" borderId="9" xfId="0" applyFont="1" applyFill="1" applyBorder="1" applyAlignment="1" applyProtection="1">
      <alignment horizontal="center"/>
      <protection hidden="1"/>
    </xf>
    <xf numFmtId="0" fontId="9" fillId="0" borderId="0" xfId="0" applyFont="1" applyFill="1" applyBorder="1" applyAlignment="1" applyProtection="1">
      <alignment vertical="center"/>
      <protection hidden="1"/>
    </xf>
    <xf numFmtId="0" fontId="11" fillId="0" borderId="4" xfId="0" applyFont="1" applyBorder="1" applyAlignment="1" applyProtection="1">
      <alignment vertical="center"/>
      <protection hidden="1"/>
    </xf>
    <xf numFmtId="0" fontId="11" fillId="0" borderId="1" xfId="0" applyFont="1" applyBorder="1" applyAlignment="1" applyProtection="1">
      <alignment vertical="center"/>
      <protection hidden="1"/>
    </xf>
    <xf numFmtId="0" fontId="11" fillId="0" borderId="11"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4" fillId="0" borderId="7" xfId="0" applyFont="1" applyBorder="1" applyAlignment="1" applyProtection="1">
      <alignment horizontal="left"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center" vertical="center"/>
      <protection hidden="1"/>
    </xf>
    <xf numFmtId="0" fontId="12" fillId="5" borderId="12" xfId="0" applyFont="1" applyFill="1" applyBorder="1" applyAlignment="1" applyProtection="1">
      <alignment horizontal="left" vertical="center" indent="1"/>
      <protection hidden="1"/>
    </xf>
    <xf numFmtId="0" fontId="7" fillId="5" borderId="5" xfId="0" applyFont="1" applyFill="1" applyBorder="1" applyAlignment="1" applyProtection="1">
      <alignment horizontal="center" vertical="center"/>
      <protection hidden="1"/>
    </xf>
    <xf numFmtId="0" fontId="12" fillId="5" borderId="5" xfId="0" applyFont="1" applyFill="1" applyBorder="1" applyAlignment="1" applyProtection="1">
      <alignment horizontal="center" vertical="center"/>
      <protection hidden="1"/>
    </xf>
    <xf numFmtId="0" fontId="12" fillId="5" borderId="6" xfId="0" applyFont="1" applyFill="1" applyBorder="1" applyAlignment="1" applyProtection="1">
      <alignment horizontal="center" vertical="center"/>
      <protection hidden="1"/>
    </xf>
    <xf numFmtId="0" fontId="3" fillId="0" borderId="0" xfId="0" applyFont="1" applyBorder="1"/>
    <xf numFmtId="0" fontId="4" fillId="0" borderId="0" xfId="0" applyFont="1"/>
    <xf numFmtId="0" fontId="4" fillId="0" borderId="0" xfId="0" applyFont="1" applyBorder="1" applyAlignment="1" applyProtection="1">
      <alignment horizontal="right" vertical="center" indent="2"/>
      <protection hidden="1"/>
    </xf>
    <xf numFmtId="0" fontId="4" fillId="0" borderId="2" xfId="0" applyFont="1" applyBorder="1" applyAlignment="1" applyProtection="1">
      <alignment horizontal="left" vertical="center" indent="2"/>
      <protection hidden="1"/>
    </xf>
    <xf numFmtId="0" fontId="15" fillId="0" borderId="0" xfId="0" applyFont="1" applyBorder="1" applyProtection="1">
      <protection hidden="1"/>
    </xf>
    <xf numFmtId="0" fontId="15" fillId="0" borderId="0" xfId="0" applyFont="1" applyBorder="1"/>
    <xf numFmtId="0" fontId="11" fillId="0" borderId="0" xfId="0" applyFont="1"/>
    <xf numFmtId="0" fontId="16" fillId="0" borderId="0" xfId="0" applyFont="1" applyBorder="1"/>
    <xf numFmtId="0" fontId="15" fillId="0" borderId="0" xfId="0" applyFont="1" applyFill="1" applyBorder="1" applyProtection="1">
      <protection hidden="1"/>
    </xf>
    <xf numFmtId="0" fontId="17" fillId="0" borderId="0" xfId="0" applyFont="1" applyAlignment="1" applyProtection="1">
      <alignment horizontal="left" vertical="center"/>
    </xf>
    <xf numFmtId="0" fontId="17" fillId="0" borderId="0" xfId="0" applyFont="1" applyBorder="1" applyAlignment="1" applyProtection="1">
      <alignment vertical="center"/>
      <protection hidden="1"/>
    </xf>
    <xf numFmtId="0" fontId="15" fillId="0" borderId="0" xfId="0" applyFont="1"/>
    <xf numFmtId="0" fontId="18" fillId="0" borderId="0" xfId="0" applyFont="1" applyBorder="1" applyProtection="1">
      <protection hidden="1"/>
    </xf>
    <xf numFmtId="0" fontId="15" fillId="0" borderId="0" xfId="0" applyFont="1" applyFill="1" applyBorder="1"/>
    <xf numFmtId="0" fontId="14" fillId="0" borderId="0" xfId="0" applyFont="1"/>
    <xf numFmtId="0" fontId="15" fillId="0" borderId="0" xfId="0" applyFont="1" applyBorder="1" applyAlignment="1">
      <alignment wrapText="1"/>
    </xf>
    <xf numFmtId="0" fontId="15" fillId="3" borderId="0" xfId="0" applyFont="1" applyFill="1" applyBorder="1"/>
    <xf numFmtId="0" fontId="15" fillId="0" borderId="0" xfId="0" quotePrefix="1" applyFont="1" applyBorder="1"/>
    <xf numFmtId="0" fontId="19" fillId="0" borderId="0" xfId="0" applyFont="1" applyBorder="1"/>
    <xf numFmtId="0" fontId="20" fillId="0" borderId="0" xfId="0" applyFont="1" applyProtection="1">
      <protection hidden="1"/>
    </xf>
    <xf numFmtId="0" fontId="17" fillId="0" borderId="0" xfId="0" applyFont="1" applyProtection="1">
      <protection hidden="1"/>
    </xf>
    <xf numFmtId="0" fontId="11" fillId="0" borderId="0" xfId="0" applyFont="1" applyAlignment="1" applyProtection="1">
      <protection hidden="1"/>
    </xf>
    <xf numFmtId="0" fontId="4" fillId="0" borderId="0" xfId="0" applyFont="1" applyBorder="1" applyAlignment="1" applyProtection="1">
      <alignment horizontal="left" vertical="center" indent="1"/>
      <protection hidden="1"/>
    </xf>
    <xf numFmtId="0" fontId="4" fillId="0" borderId="0" xfId="0" applyFont="1" applyBorder="1" applyAlignment="1" applyProtection="1">
      <alignment horizontal="left" indent="1"/>
      <protection hidden="1"/>
    </xf>
    <xf numFmtId="0" fontId="7" fillId="0" borderId="9" xfId="0" applyFont="1" applyBorder="1"/>
    <xf numFmtId="0" fontId="4" fillId="0" borderId="9" xfId="0" applyFont="1" applyBorder="1"/>
    <xf numFmtId="0" fontId="7" fillId="0" borderId="0" xfId="0" applyFont="1"/>
    <xf numFmtId="0" fontId="4" fillId="0" borderId="0" xfId="0" applyFont="1" applyBorder="1" applyAlignment="1">
      <alignment horizontal="center" vertical="center"/>
    </xf>
    <xf numFmtId="0" fontId="4" fillId="0" borderId="0" xfId="0" applyFont="1" applyBorder="1" applyAlignment="1">
      <alignment horizontal="left" vertical="center"/>
    </xf>
    <xf numFmtId="164" fontId="13" fillId="0" borderId="0" xfId="2" applyFont="1" applyBorder="1" applyAlignment="1">
      <alignment horizontal="center" vertical="center"/>
    </xf>
    <xf numFmtId="0" fontId="13" fillId="0" borderId="0"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Border="1" applyAlignment="1">
      <alignment horizontal="left" vertical="center"/>
    </xf>
    <xf numFmtId="0" fontId="4" fillId="0" borderId="0" xfId="0" applyFont="1" applyAlignment="1">
      <alignment vertical="center"/>
    </xf>
    <xf numFmtId="0" fontId="4" fillId="0" borderId="0" xfId="0" applyFont="1" applyBorder="1"/>
    <xf numFmtId="164" fontId="13" fillId="0" borderId="9" xfId="2" applyFont="1" applyBorder="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Border="1"/>
    <xf numFmtId="0" fontId="11" fillId="0" borderId="0" xfId="0" applyFont="1" applyBorder="1" applyAlignment="1" applyProtection="1">
      <protection hidden="1"/>
    </xf>
    <xf numFmtId="165" fontId="11" fillId="0" borderId="0" xfId="0" applyNumberFormat="1" applyFont="1" applyBorder="1" applyAlignment="1" applyProtection="1">
      <protection hidden="1"/>
    </xf>
    <xf numFmtId="0" fontId="11" fillId="0" borderId="0" xfId="0" applyNumberFormat="1" applyFont="1" applyAlignment="1" applyProtection="1">
      <protection hidden="1"/>
    </xf>
    <xf numFmtId="165" fontId="11" fillId="0" borderId="0" xfId="0" applyNumberFormat="1" applyFont="1" applyAlignment="1" applyProtection="1">
      <protection hidden="1"/>
    </xf>
    <xf numFmtId="0" fontId="11" fillId="0" borderId="0" xfId="0" applyFont="1" applyBorder="1" applyAlignment="1" applyProtection="1">
      <alignment horizontal="center" vertical="center"/>
      <protection hidden="1"/>
    </xf>
    <xf numFmtId="16" fontId="11" fillId="0" borderId="0" xfId="0" applyNumberFormat="1" applyFont="1" applyBorder="1" applyAlignment="1" applyProtection="1">
      <alignment vertical="center"/>
      <protection hidden="1"/>
    </xf>
    <xf numFmtId="166" fontId="11" fillId="0" borderId="0" xfId="0" applyNumberFormat="1" applyFont="1" applyBorder="1" applyAlignment="1" applyProtection="1">
      <alignment horizontal="right" vertical="center"/>
      <protection hidden="1"/>
    </xf>
    <xf numFmtId="166" fontId="11" fillId="0" borderId="0" xfId="0" applyNumberFormat="1" applyFont="1" applyAlignment="1" applyProtection="1">
      <protection hidden="1"/>
    </xf>
    <xf numFmtId="0" fontId="11" fillId="0" borderId="0" xfId="0" applyFont="1" applyProtection="1">
      <protection hidden="1"/>
    </xf>
    <xf numFmtId="0" fontId="12" fillId="0" borderId="0" xfId="0" applyFont="1" applyFill="1" applyBorder="1" applyAlignment="1">
      <alignment horizontal="center"/>
    </xf>
    <xf numFmtId="0" fontId="11" fillId="0" borderId="0" xfId="0" applyFont="1" applyBorder="1" applyAlignment="1">
      <alignment horizontal="center" vertical="center" textRotation="255"/>
    </xf>
    <xf numFmtId="0" fontId="11" fillId="0" borderId="0" xfId="0" applyFont="1" applyBorder="1" applyAlignment="1">
      <alignment horizontal="left" vertical="center" indent="1"/>
    </xf>
    <xf numFmtId="0" fontId="11" fillId="0" borderId="0" xfId="0" applyFont="1" applyBorder="1" applyAlignment="1" applyProtection="1">
      <alignment horizontal="left" vertical="center" indent="1"/>
      <protection hidden="1"/>
    </xf>
    <xf numFmtId="0" fontId="11" fillId="0" borderId="0" xfId="0" applyFont="1" applyFill="1" applyBorder="1" applyAlignment="1" applyProtection="1">
      <protection hidden="1"/>
    </xf>
    <xf numFmtId="166" fontId="11" fillId="0" borderId="0" xfId="0" applyNumberFormat="1" applyFont="1" applyAlignment="1" applyProtection="1">
      <alignment horizontal="right"/>
      <protection hidden="1"/>
    </xf>
    <xf numFmtId="0" fontId="11" fillId="0" borderId="0" xfId="0" applyFont="1" applyAlignment="1" applyProtection="1">
      <alignment horizontal="right"/>
      <protection hidden="1"/>
    </xf>
    <xf numFmtId="0" fontId="0" fillId="0" borderId="9" xfId="0" applyBorder="1"/>
    <xf numFmtId="0" fontId="11" fillId="0" borderId="0" xfId="0" applyFont="1" applyAlignment="1"/>
    <xf numFmtId="0" fontId="9" fillId="2" borderId="12"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8" fillId="2" borderId="0" xfId="1" applyFont="1" applyFill="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7" fillId="4" borderId="0" xfId="0" applyFont="1" applyFill="1" applyAlignment="1" applyProtection="1">
      <alignment horizontal="left" vertical="center"/>
      <protection locked="0"/>
    </xf>
    <xf numFmtId="49" fontId="7" fillId="4" borderId="0" xfId="0" applyNumberFormat="1" applyFont="1" applyFill="1" applyAlignment="1" applyProtection="1">
      <alignment horizontal="left" vertical="center"/>
      <protection locked="0"/>
    </xf>
    <xf numFmtId="0" fontId="9" fillId="2" borderId="4" xfId="0" applyFont="1" applyFill="1" applyBorder="1" applyAlignment="1" applyProtection="1">
      <alignment horizontal="center"/>
      <protection hidden="1"/>
    </xf>
    <xf numFmtId="0" fontId="9" fillId="2" borderId="7" xfId="0" applyFont="1" applyFill="1" applyBorder="1" applyAlignment="1" applyProtection="1">
      <alignment horizontal="center"/>
      <protection hidden="1"/>
    </xf>
    <xf numFmtId="0" fontId="9" fillId="2" borderId="8" xfId="0" applyFont="1" applyFill="1" applyBorder="1" applyAlignment="1" applyProtection="1">
      <alignment horizontal="center"/>
      <protection hidden="1"/>
    </xf>
    <xf numFmtId="0" fontId="9" fillId="5" borderId="12"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protection hidden="1"/>
    </xf>
    <xf numFmtId="0" fontId="9" fillId="5" borderId="6"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12" fillId="0" borderId="0" xfId="0" applyFont="1" applyBorder="1" applyAlignment="1">
      <alignment horizontal="center" vertical="center" textRotation="255"/>
    </xf>
    <xf numFmtId="0" fontId="12" fillId="2" borderId="12" xfId="0" applyFont="1" applyFill="1" applyBorder="1" applyAlignment="1" applyProtection="1">
      <alignment horizontal="center" vertical="center"/>
      <protection hidden="1"/>
    </xf>
    <xf numFmtId="0" fontId="12" fillId="2" borderId="5"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protection hidden="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2" fillId="0" borderId="12" xfId="1" applyFont="1" applyBorder="1" applyAlignment="1" applyProtection="1">
      <alignment horizontal="center" vertical="center"/>
    </xf>
    <xf numFmtId="0" fontId="22" fillId="0" borderId="5" xfId="1" applyFont="1" applyBorder="1" applyAlignment="1" applyProtection="1">
      <alignment horizontal="center" vertical="center"/>
    </xf>
    <xf numFmtId="0" fontId="22" fillId="0" borderId="6" xfId="1" applyFont="1" applyBorder="1" applyAlignment="1" applyProtection="1">
      <alignment horizontal="center" vertical="center"/>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6" borderId="12"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64" fontId="13" fillId="0" borderId="4" xfId="2" applyFont="1" applyBorder="1" applyAlignment="1">
      <alignment horizontal="center" vertical="center"/>
    </xf>
    <xf numFmtId="164" fontId="13" fillId="0" borderId="7" xfId="2" applyFont="1" applyBorder="1" applyAlignment="1">
      <alignment horizontal="center" vertical="center"/>
    </xf>
    <xf numFmtId="164" fontId="13" fillId="0" borderId="8" xfId="2" applyFont="1" applyBorder="1" applyAlignment="1">
      <alignment horizontal="center" vertical="center"/>
    </xf>
    <xf numFmtId="164" fontId="13" fillId="0" borderId="11" xfId="2" applyFont="1" applyBorder="1" applyAlignment="1">
      <alignment horizontal="center" vertical="center"/>
    </xf>
    <xf numFmtId="164" fontId="13" fillId="0" borderId="9" xfId="2" applyFont="1" applyBorder="1" applyAlignment="1">
      <alignment horizontal="center" vertical="center"/>
    </xf>
    <xf numFmtId="164" fontId="13" fillId="0" borderId="10" xfId="2"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cellXfs>
  <cellStyles count="3">
    <cellStyle name="Ezres" xfId="2" builtinId="3"/>
    <cellStyle name="Hivatkozás" xfId="1" builtinId="8"/>
    <cellStyle name="Normál" xfId="0" builtinId="0"/>
  </cellStyles>
  <dxfs count="29">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ont>
        <condense val="0"/>
        <extend val="0"/>
        <color auto="1"/>
      </font>
      <border>
        <left style="thin">
          <color indexed="12"/>
        </left>
        <right style="thin">
          <color indexed="12"/>
        </right>
        <top style="thin">
          <color indexed="12"/>
        </top>
        <bottom style="thin">
          <color indexed="12"/>
        </bottom>
      </border>
    </dxf>
    <dxf>
      <font>
        <b val="0"/>
        <i val="0"/>
        <condense val="0"/>
        <extend val="0"/>
        <color indexed="8"/>
      </font>
      <border>
        <left style="thin">
          <color indexed="12"/>
        </left>
        <right style="thin">
          <color indexed="12"/>
        </right>
        <top style="thin">
          <color indexed="12"/>
        </top>
        <bottom style="thin">
          <color indexed="12"/>
        </bottom>
      </border>
    </dxf>
    <dxf>
      <fill>
        <patternFill>
          <bgColor indexed="41"/>
        </patternFill>
      </fill>
      <border>
        <left style="thin">
          <color indexed="64"/>
        </left>
        <right style="thin">
          <color indexed="64"/>
        </right>
        <top style="thin">
          <color indexed="64"/>
        </top>
        <bottom style="thin">
          <color indexed="64"/>
        </bottom>
      </border>
    </dxf>
    <dxf>
      <font>
        <condense val="0"/>
        <extend val="0"/>
        <color indexed="55"/>
      </font>
    </dxf>
    <dxf>
      <font>
        <b/>
        <i val="0"/>
        <condense val="0"/>
        <extend val="0"/>
        <color indexed="12"/>
      </font>
    </dxf>
    <dxf>
      <font>
        <condense val="0"/>
        <extend val="0"/>
        <color indexed="55"/>
      </font>
    </dxf>
    <dxf>
      <font>
        <b/>
        <i val="0"/>
        <condense val="0"/>
        <extend val="0"/>
        <color indexed="12"/>
      </font>
    </dxf>
    <dxf>
      <font>
        <condense val="0"/>
        <extend val="0"/>
        <color indexed="55"/>
      </font>
    </dxf>
    <dxf>
      <font>
        <b/>
        <i val="0"/>
        <condense val="0"/>
        <extend val="0"/>
        <color indexed="12"/>
      </font>
    </dxf>
    <dxf>
      <font>
        <condense val="0"/>
        <extend val="0"/>
        <color indexed="55"/>
      </font>
    </dxf>
    <dxf>
      <font>
        <b/>
        <i val="0"/>
        <condense val="0"/>
        <extend val="0"/>
        <color indexed="12"/>
      </font>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emf"/><Relationship Id="rId21" Type="http://schemas.openxmlformats.org/officeDocument/2006/relationships/image" Target="../media/image21.png"/><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emf"/><Relationship Id="rId49" Type="http://schemas.openxmlformats.org/officeDocument/2006/relationships/image" Target="../media/image49.emf"/><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emf"/><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0" Type="http://schemas.openxmlformats.org/officeDocument/2006/relationships/image" Target="../media/image20.png"/><Relationship Id="rId41" Type="http://schemas.openxmlformats.org/officeDocument/2006/relationships/image" Target="../media/image41.emf"/><Relationship Id="rId1" Type="http://schemas.openxmlformats.org/officeDocument/2006/relationships/image" Target="../media/image1.png"/><Relationship Id="rId6" Type="http://schemas.openxmlformats.org/officeDocument/2006/relationships/image" Target="../media/image6.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4.png"/><Relationship Id="rId18" Type="http://schemas.openxmlformats.org/officeDocument/2006/relationships/image" Target="../media/image30.png"/><Relationship Id="rId26" Type="http://schemas.openxmlformats.org/officeDocument/2006/relationships/image" Target="../media/image14.png"/><Relationship Id="rId39" Type="http://schemas.openxmlformats.org/officeDocument/2006/relationships/image" Target="../media/image71.emf"/><Relationship Id="rId21" Type="http://schemas.openxmlformats.org/officeDocument/2006/relationships/image" Target="../media/image11.png"/><Relationship Id="rId34" Type="http://schemas.openxmlformats.org/officeDocument/2006/relationships/image" Target="../media/image44.emf"/><Relationship Id="rId42" Type="http://schemas.openxmlformats.org/officeDocument/2006/relationships/image" Target="../media/image42.emf"/><Relationship Id="rId47" Type="http://schemas.openxmlformats.org/officeDocument/2006/relationships/image" Target="../media/image75.emf"/><Relationship Id="rId50" Type="http://schemas.openxmlformats.org/officeDocument/2006/relationships/image" Target="../media/image48.emf"/><Relationship Id="rId55" Type="http://schemas.openxmlformats.org/officeDocument/2006/relationships/image" Target="../media/image79.emf"/><Relationship Id="rId63" Type="http://schemas.openxmlformats.org/officeDocument/2006/relationships/image" Target="../media/image83.emf"/><Relationship Id="rId7" Type="http://schemas.openxmlformats.org/officeDocument/2006/relationships/image" Target="../media/image4.png"/><Relationship Id="rId2" Type="http://schemas.openxmlformats.org/officeDocument/2006/relationships/image" Target="../media/image27.png"/><Relationship Id="rId16" Type="http://schemas.openxmlformats.org/officeDocument/2006/relationships/image" Target="../media/image19.png"/><Relationship Id="rId29" Type="http://schemas.openxmlformats.org/officeDocument/2006/relationships/image" Target="../media/image26.png"/><Relationship Id="rId11" Type="http://schemas.openxmlformats.org/officeDocument/2006/relationships/image" Target="../media/image8.png"/><Relationship Id="rId24" Type="http://schemas.openxmlformats.org/officeDocument/2006/relationships/image" Target="../media/image13.png"/><Relationship Id="rId32" Type="http://schemas.openxmlformats.org/officeDocument/2006/relationships/image" Target="../media/image23.png"/><Relationship Id="rId37" Type="http://schemas.openxmlformats.org/officeDocument/2006/relationships/image" Target="../media/image35.emf"/><Relationship Id="rId40" Type="http://schemas.openxmlformats.org/officeDocument/2006/relationships/image" Target="../media/image72.emf"/><Relationship Id="rId45" Type="http://schemas.openxmlformats.org/officeDocument/2006/relationships/image" Target="../media/image40.emf"/><Relationship Id="rId53" Type="http://schemas.openxmlformats.org/officeDocument/2006/relationships/image" Target="../media/image37.emf"/><Relationship Id="rId58" Type="http://schemas.openxmlformats.org/officeDocument/2006/relationships/image" Target="../media/image49.emf"/><Relationship Id="rId5" Type="http://schemas.openxmlformats.org/officeDocument/2006/relationships/image" Target="../media/image2.png"/><Relationship Id="rId61" Type="http://schemas.openxmlformats.org/officeDocument/2006/relationships/image" Target="../media/image41.emf"/><Relationship Id="rId19" Type="http://schemas.openxmlformats.org/officeDocument/2006/relationships/image" Target="../media/image32.png"/><Relationship Id="rId14" Type="http://schemas.openxmlformats.org/officeDocument/2006/relationships/image" Target="../media/image9.png"/><Relationship Id="rId22" Type="http://schemas.openxmlformats.org/officeDocument/2006/relationships/image" Target="../media/image22.png"/><Relationship Id="rId27" Type="http://schemas.openxmlformats.org/officeDocument/2006/relationships/image" Target="../media/image15.png"/><Relationship Id="rId30" Type="http://schemas.openxmlformats.org/officeDocument/2006/relationships/image" Target="../media/image17.png"/><Relationship Id="rId35" Type="http://schemas.openxmlformats.org/officeDocument/2006/relationships/image" Target="../media/image69.emf"/><Relationship Id="rId43" Type="http://schemas.openxmlformats.org/officeDocument/2006/relationships/image" Target="../media/image73.emf"/><Relationship Id="rId48" Type="http://schemas.openxmlformats.org/officeDocument/2006/relationships/image" Target="../media/image76.emf"/><Relationship Id="rId56" Type="http://schemas.openxmlformats.org/officeDocument/2006/relationships/image" Target="../media/image80.emf"/><Relationship Id="rId64" Type="http://schemas.openxmlformats.org/officeDocument/2006/relationships/image" Target="../media/image84.emf"/><Relationship Id="rId8" Type="http://schemas.openxmlformats.org/officeDocument/2006/relationships/image" Target="../media/image5.png"/><Relationship Id="rId51" Type="http://schemas.openxmlformats.org/officeDocument/2006/relationships/image" Target="../media/image77.emf"/><Relationship Id="rId3" Type="http://schemas.openxmlformats.org/officeDocument/2006/relationships/image" Target="../media/image20.png"/><Relationship Id="rId12" Type="http://schemas.openxmlformats.org/officeDocument/2006/relationships/image" Target="../media/image28.png"/><Relationship Id="rId17" Type="http://schemas.openxmlformats.org/officeDocument/2006/relationships/image" Target="../media/image10.png"/><Relationship Id="rId25" Type="http://schemas.openxmlformats.org/officeDocument/2006/relationships/image" Target="../media/image29.png"/><Relationship Id="rId33" Type="http://schemas.openxmlformats.org/officeDocument/2006/relationships/image" Target="../media/image34.emf"/><Relationship Id="rId38" Type="http://schemas.openxmlformats.org/officeDocument/2006/relationships/image" Target="../media/image45.emf"/><Relationship Id="rId46" Type="http://schemas.openxmlformats.org/officeDocument/2006/relationships/image" Target="../media/image46.emf"/><Relationship Id="rId59" Type="http://schemas.openxmlformats.org/officeDocument/2006/relationships/image" Target="../media/image81.emf"/><Relationship Id="rId20" Type="http://schemas.openxmlformats.org/officeDocument/2006/relationships/image" Target="../media/image31.png"/><Relationship Id="rId41" Type="http://schemas.openxmlformats.org/officeDocument/2006/relationships/image" Target="../media/image36.emf"/><Relationship Id="rId54" Type="http://schemas.openxmlformats.org/officeDocument/2006/relationships/image" Target="../media/image43.emf"/><Relationship Id="rId62" Type="http://schemas.openxmlformats.org/officeDocument/2006/relationships/image" Target="../media/image47.emf"/><Relationship Id="rId1" Type="http://schemas.openxmlformats.org/officeDocument/2006/relationships/image" Target="../media/image1.png"/><Relationship Id="rId6" Type="http://schemas.openxmlformats.org/officeDocument/2006/relationships/image" Target="../media/image3.png"/><Relationship Id="rId15" Type="http://schemas.openxmlformats.org/officeDocument/2006/relationships/image" Target="../media/image25.png"/><Relationship Id="rId23" Type="http://schemas.openxmlformats.org/officeDocument/2006/relationships/image" Target="../media/image12.png"/><Relationship Id="rId28" Type="http://schemas.openxmlformats.org/officeDocument/2006/relationships/image" Target="../media/image16.png"/><Relationship Id="rId36" Type="http://schemas.openxmlformats.org/officeDocument/2006/relationships/image" Target="../media/image70.emf"/><Relationship Id="rId49" Type="http://schemas.openxmlformats.org/officeDocument/2006/relationships/image" Target="../media/image38.emf"/><Relationship Id="rId57" Type="http://schemas.openxmlformats.org/officeDocument/2006/relationships/image" Target="../media/image39.emf"/><Relationship Id="rId10" Type="http://schemas.openxmlformats.org/officeDocument/2006/relationships/image" Target="../media/image7.png"/><Relationship Id="rId31" Type="http://schemas.openxmlformats.org/officeDocument/2006/relationships/image" Target="../media/image18.png"/><Relationship Id="rId44" Type="http://schemas.openxmlformats.org/officeDocument/2006/relationships/image" Target="../media/image74.emf"/><Relationship Id="rId52" Type="http://schemas.openxmlformats.org/officeDocument/2006/relationships/image" Target="../media/image78.emf"/><Relationship Id="rId60" Type="http://schemas.openxmlformats.org/officeDocument/2006/relationships/image" Target="../media/image82.emf"/><Relationship Id="rId4" Type="http://schemas.openxmlformats.org/officeDocument/2006/relationships/image" Target="../media/image21.pn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hyperlink" Target="https://www.e-junkie.com/ecom/gb.php?i=1103823&amp;c=single&amp;cl=192175" TargetMode="External"/><Relationship Id="rId3" Type="http://schemas.openxmlformats.org/officeDocument/2006/relationships/hyperlink" Target="https://www.e-junkie.com/ecom/gb.php?i=1140675&amp;c=single&amp;cl=192175" TargetMode="External"/><Relationship Id="rId7" Type="http://schemas.openxmlformats.org/officeDocument/2006/relationships/hyperlink" Target="https://www.e-junkie.com/ecom/gb.php?i=1329269&amp;c=single&amp;cl=192175" TargetMode="External"/><Relationship Id="rId2" Type="http://schemas.openxmlformats.org/officeDocument/2006/relationships/image" Target="../media/image101.jpeg"/><Relationship Id="rId1" Type="http://schemas.openxmlformats.org/officeDocument/2006/relationships/hyperlink" Target="https://www.e-junkie.com/ecom/gb.php?i=1139576&amp;c=single&amp;cl=192175" TargetMode="External"/><Relationship Id="rId6" Type="http://schemas.openxmlformats.org/officeDocument/2006/relationships/hyperlink" Target="https://www.e-junkie.com/ecom/gb.php?i=1152672&amp;c=single&amp;cl=192175" TargetMode="External"/><Relationship Id="rId5" Type="http://schemas.openxmlformats.org/officeDocument/2006/relationships/hyperlink" Target="https://www.e-junkie.com/ecom/gb.php?i=1282999&amp;c=single&amp;cl=192175" TargetMode="External"/><Relationship Id="rId10" Type="http://schemas.openxmlformats.org/officeDocument/2006/relationships/hyperlink" Target="https://www.e-junkie.com/ecom/gb.php?i=1329268&amp;c=single&amp;cl=192175" TargetMode="External"/><Relationship Id="rId4" Type="http://schemas.openxmlformats.org/officeDocument/2006/relationships/hyperlink" Target="https://www.e-junkie.com/ecom/gb.php?i=1201300&amp;c=single&amp;cl=192175" TargetMode="External"/><Relationship Id="rId9" Type="http://schemas.openxmlformats.org/officeDocument/2006/relationships/hyperlink" Target="https://www.e-junkie.com/ecom/gb.php?i=1329266&amp;c=single&amp;cl=192175"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63.emf"/><Relationship Id="rId18" Type="http://schemas.openxmlformats.org/officeDocument/2006/relationships/image" Target="../media/image68.emf"/><Relationship Id="rId3" Type="http://schemas.openxmlformats.org/officeDocument/2006/relationships/image" Target="../media/image53.emf"/><Relationship Id="rId7" Type="http://schemas.openxmlformats.org/officeDocument/2006/relationships/image" Target="../media/image57.emf"/><Relationship Id="rId12" Type="http://schemas.openxmlformats.org/officeDocument/2006/relationships/image" Target="../media/image62.emf"/><Relationship Id="rId17" Type="http://schemas.openxmlformats.org/officeDocument/2006/relationships/image" Target="../media/image67.emf"/><Relationship Id="rId2" Type="http://schemas.openxmlformats.org/officeDocument/2006/relationships/image" Target="../media/image52.emf"/><Relationship Id="rId16" Type="http://schemas.openxmlformats.org/officeDocument/2006/relationships/image" Target="../media/image66.emf"/><Relationship Id="rId1" Type="http://schemas.openxmlformats.org/officeDocument/2006/relationships/image" Target="../media/image51.emf"/><Relationship Id="rId6" Type="http://schemas.openxmlformats.org/officeDocument/2006/relationships/image" Target="../media/image56.emf"/><Relationship Id="rId11" Type="http://schemas.openxmlformats.org/officeDocument/2006/relationships/image" Target="../media/image61.emf"/><Relationship Id="rId5" Type="http://schemas.openxmlformats.org/officeDocument/2006/relationships/image" Target="../media/image55.emf"/><Relationship Id="rId15" Type="http://schemas.openxmlformats.org/officeDocument/2006/relationships/image" Target="../media/image65.emf"/><Relationship Id="rId10" Type="http://schemas.openxmlformats.org/officeDocument/2006/relationships/image" Target="../media/image60.emf"/><Relationship Id="rId4" Type="http://schemas.openxmlformats.org/officeDocument/2006/relationships/image" Target="../media/image54.emf"/><Relationship Id="rId9" Type="http://schemas.openxmlformats.org/officeDocument/2006/relationships/image" Target="../media/image59.emf"/><Relationship Id="rId14" Type="http://schemas.openxmlformats.org/officeDocument/2006/relationships/image" Target="../media/image6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88.emf"/><Relationship Id="rId13" Type="http://schemas.openxmlformats.org/officeDocument/2006/relationships/image" Target="../media/image58.emf"/><Relationship Id="rId18" Type="http://schemas.openxmlformats.org/officeDocument/2006/relationships/image" Target="../media/image66.emf"/><Relationship Id="rId26" Type="http://schemas.openxmlformats.org/officeDocument/2006/relationships/image" Target="../media/image67.emf"/><Relationship Id="rId3" Type="http://schemas.openxmlformats.org/officeDocument/2006/relationships/image" Target="../media/image85.emf"/><Relationship Id="rId21" Type="http://schemas.openxmlformats.org/officeDocument/2006/relationships/image" Target="../media/image55.emf"/><Relationship Id="rId7" Type="http://schemas.openxmlformats.org/officeDocument/2006/relationships/image" Target="../media/image87.emf"/><Relationship Id="rId12" Type="http://schemas.openxmlformats.org/officeDocument/2006/relationships/image" Target="../media/image90.emf"/><Relationship Id="rId17" Type="http://schemas.openxmlformats.org/officeDocument/2006/relationships/image" Target="../media/image56.emf"/><Relationship Id="rId25" Type="http://schemas.openxmlformats.org/officeDocument/2006/relationships/image" Target="../media/image57.emf"/><Relationship Id="rId2" Type="http://schemas.openxmlformats.org/officeDocument/2006/relationships/image" Target="../media/image62.emf"/><Relationship Id="rId16" Type="http://schemas.openxmlformats.org/officeDocument/2006/relationships/image" Target="../media/image92.emf"/><Relationship Id="rId20" Type="http://schemas.openxmlformats.org/officeDocument/2006/relationships/image" Target="../media/image94.emf"/><Relationship Id="rId29" Type="http://schemas.openxmlformats.org/officeDocument/2006/relationships/image" Target="../media/image59.emf"/><Relationship Id="rId1" Type="http://schemas.openxmlformats.org/officeDocument/2006/relationships/image" Target="../media/image52.emf"/><Relationship Id="rId6" Type="http://schemas.openxmlformats.org/officeDocument/2006/relationships/image" Target="../media/image63.emf"/><Relationship Id="rId11" Type="http://schemas.openxmlformats.org/officeDocument/2006/relationships/image" Target="../media/image89.emf"/><Relationship Id="rId24" Type="http://schemas.openxmlformats.org/officeDocument/2006/relationships/image" Target="../media/image96.emf"/><Relationship Id="rId32" Type="http://schemas.openxmlformats.org/officeDocument/2006/relationships/image" Target="../media/image100.emf"/><Relationship Id="rId5" Type="http://schemas.openxmlformats.org/officeDocument/2006/relationships/image" Target="../media/image53.emf"/><Relationship Id="rId15" Type="http://schemas.openxmlformats.org/officeDocument/2006/relationships/image" Target="../media/image91.emf"/><Relationship Id="rId23" Type="http://schemas.openxmlformats.org/officeDocument/2006/relationships/image" Target="../media/image95.emf"/><Relationship Id="rId28" Type="http://schemas.openxmlformats.org/officeDocument/2006/relationships/image" Target="../media/image98.emf"/><Relationship Id="rId10" Type="http://schemas.openxmlformats.org/officeDocument/2006/relationships/image" Target="../media/image60.emf"/><Relationship Id="rId19" Type="http://schemas.openxmlformats.org/officeDocument/2006/relationships/image" Target="../media/image93.emf"/><Relationship Id="rId31" Type="http://schemas.openxmlformats.org/officeDocument/2006/relationships/image" Target="../media/image99.emf"/><Relationship Id="rId4" Type="http://schemas.openxmlformats.org/officeDocument/2006/relationships/image" Target="../media/image86.emf"/><Relationship Id="rId9" Type="http://schemas.openxmlformats.org/officeDocument/2006/relationships/image" Target="../media/image54.emf"/><Relationship Id="rId14" Type="http://schemas.openxmlformats.org/officeDocument/2006/relationships/image" Target="../media/image64.emf"/><Relationship Id="rId22" Type="http://schemas.openxmlformats.org/officeDocument/2006/relationships/image" Target="../media/image61.emf"/><Relationship Id="rId27" Type="http://schemas.openxmlformats.org/officeDocument/2006/relationships/image" Target="../media/image97.emf"/><Relationship Id="rId30" Type="http://schemas.openxmlformats.org/officeDocument/2006/relationships/image" Target="../media/image65.emf"/></Relationships>
</file>

<file path=xl/drawings/drawing1.xml><?xml version="1.0" encoding="utf-8"?>
<xdr:wsDr xmlns:xdr="http://schemas.openxmlformats.org/drawingml/2006/spreadsheetDrawing" xmlns:a="http://schemas.openxmlformats.org/drawingml/2006/main">
  <xdr:twoCellAnchor>
    <xdr:from>
      <xdr:col>12</xdr:col>
      <xdr:colOff>72390</xdr:colOff>
      <xdr:row>13</xdr:row>
      <xdr:rowOff>15240</xdr:rowOff>
    </xdr:from>
    <xdr:to>
      <xdr:col>12</xdr:col>
      <xdr:colOff>255270</xdr:colOff>
      <xdr:row>61</xdr:row>
      <xdr:rowOff>1403</xdr:rowOff>
    </xdr:to>
    <xdr:grpSp>
      <xdr:nvGrpSpPr>
        <xdr:cNvPr id="24" name="Group 23"/>
        <xdr:cNvGrpSpPr/>
      </xdr:nvGrpSpPr>
      <xdr:grpSpPr>
        <a:xfrm>
          <a:off x="5396865" y="2453640"/>
          <a:ext cx="182880" cy="9130163"/>
          <a:chOff x="5543550" y="2484120"/>
          <a:chExt cx="182880" cy="9130163"/>
        </a:xfrm>
      </xdr:grpSpPr>
      <xdr:pic>
        <xdr:nvPicPr>
          <xdr:cNvPr id="41" name="Picture 4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50" y="8575896"/>
            <a:ext cx="182880" cy="182880"/>
          </a:xfrm>
          <a:prstGeom prst="rect">
            <a:avLst/>
          </a:prstGeom>
        </xdr:spPr>
      </xdr:pic>
      <xdr:pic>
        <xdr:nvPicPr>
          <xdr:cNvPr id="45" name="Picture 4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3550" y="4007064"/>
            <a:ext cx="182880" cy="182880"/>
          </a:xfrm>
          <a:prstGeom prst="rect">
            <a:avLst/>
          </a:prstGeom>
        </xdr:spPr>
      </xdr:pic>
      <xdr:pic>
        <xdr:nvPicPr>
          <xdr:cNvPr id="46" name="Picture 4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43550" y="4958904"/>
            <a:ext cx="182880" cy="182880"/>
          </a:xfrm>
          <a:prstGeom prst="rect">
            <a:avLst/>
          </a:prstGeom>
        </xdr:spPr>
      </xdr:pic>
      <xdr:pic>
        <xdr:nvPicPr>
          <xdr:cNvPr id="47" name="Picture 4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43550" y="4197432"/>
            <a:ext cx="182880" cy="182880"/>
          </a:xfrm>
          <a:prstGeom prst="rect">
            <a:avLst/>
          </a:prstGeom>
        </xdr:spPr>
      </xdr:pic>
      <xdr:pic>
        <xdr:nvPicPr>
          <xdr:cNvPr id="48" name="Picture 4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43550" y="3626328"/>
            <a:ext cx="182880" cy="182880"/>
          </a:xfrm>
          <a:prstGeom prst="rect">
            <a:avLst/>
          </a:prstGeom>
        </xdr:spPr>
      </xdr:pic>
      <xdr:pic>
        <xdr:nvPicPr>
          <xdr:cNvPr id="49" name="Picture 4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43550" y="3055224"/>
            <a:ext cx="182880" cy="182880"/>
          </a:xfrm>
          <a:prstGeom prst="rect">
            <a:avLst/>
          </a:prstGeom>
        </xdr:spPr>
      </xdr:pic>
      <xdr:pic>
        <xdr:nvPicPr>
          <xdr:cNvPr id="50" name="Picture 4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3550" y="3435960"/>
            <a:ext cx="182880" cy="182880"/>
          </a:xfrm>
          <a:prstGeom prst="rect">
            <a:avLst/>
          </a:prstGeom>
        </xdr:spPr>
      </xdr:pic>
      <xdr:pic>
        <xdr:nvPicPr>
          <xdr:cNvPr id="51" name="Picture 5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43550" y="5339640"/>
            <a:ext cx="182880" cy="182880"/>
          </a:xfrm>
          <a:prstGeom prst="rect">
            <a:avLst/>
          </a:prstGeom>
        </xdr:spPr>
      </xdr:pic>
      <xdr:pic>
        <xdr:nvPicPr>
          <xdr:cNvPr id="54" name="Picture 5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43550" y="3816696"/>
            <a:ext cx="182880" cy="182880"/>
          </a:xfrm>
          <a:prstGeom prst="rect">
            <a:avLst/>
          </a:prstGeom>
        </xdr:spPr>
      </xdr:pic>
      <xdr:pic>
        <xdr:nvPicPr>
          <xdr:cNvPr id="57" name="Picture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43550" y="2864856"/>
            <a:ext cx="182880" cy="182880"/>
          </a:xfrm>
          <a:prstGeom prst="rect">
            <a:avLst/>
          </a:prstGeom>
        </xdr:spPr>
      </xdr:pic>
      <xdr:pic>
        <xdr:nvPicPr>
          <xdr:cNvPr id="61" name="Picture 6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43550" y="7624056"/>
            <a:ext cx="182880" cy="182880"/>
          </a:xfrm>
          <a:prstGeom prst="rect">
            <a:avLst/>
          </a:prstGeom>
        </xdr:spPr>
      </xdr:pic>
      <xdr:pic>
        <xdr:nvPicPr>
          <xdr:cNvPr id="63" name="Picture 6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43550" y="4578168"/>
            <a:ext cx="182880" cy="182880"/>
          </a:xfrm>
          <a:prstGeom prst="rect">
            <a:avLst/>
          </a:prstGeom>
        </xdr:spPr>
      </xdr:pic>
      <xdr:pic>
        <xdr:nvPicPr>
          <xdr:cNvPr id="64" name="Picture 6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543550" y="2674488"/>
            <a:ext cx="182880" cy="182880"/>
          </a:xfrm>
          <a:prstGeom prst="rect">
            <a:avLst/>
          </a:prstGeom>
        </xdr:spPr>
      </xdr:pic>
      <xdr:pic>
        <xdr:nvPicPr>
          <xdr:cNvPr id="66" name="Picture 6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543550" y="5149272"/>
            <a:ext cx="182880" cy="182880"/>
          </a:xfrm>
          <a:prstGeom prst="rect">
            <a:avLst/>
          </a:prstGeom>
        </xdr:spPr>
      </xdr:pic>
      <xdr:pic>
        <xdr:nvPicPr>
          <xdr:cNvPr id="67" name="Picture 6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543550" y="3245592"/>
            <a:ext cx="182880" cy="182880"/>
          </a:xfrm>
          <a:prstGeom prst="rect">
            <a:avLst/>
          </a:prstGeom>
        </xdr:spPr>
      </xdr:pic>
      <xdr:pic>
        <xdr:nvPicPr>
          <xdr:cNvPr id="68" name="Picture 6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543550" y="2484120"/>
            <a:ext cx="182880" cy="182880"/>
          </a:xfrm>
          <a:prstGeom prst="rect">
            <a:avLst/>
          </a:prstGeom>
        </xdr:spPr>
      </xdr:pic>
      <xdr:pic>
        <xdr:nvPicPr>
          <xdr:cNvPr id="70" name="Picture 6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543550" y="4768536"/>
            <a:ext cx="182880" cy="182880"/>
          </a:xfrm>
          <a:prstGeom prst="rect">
            <a:avLst/>
          </a:prstGeom>
        </xdr:spPr>
      </xdr:pic>
      <xdr:pic>
        <xdr:nvPicPr>
          <xdr:cNvPr id="73" name="Picture 7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543550" y="5720376"/>
            <a:ext cx="182880" cy="182880"/>
          </a:xfrm>
          <a:prstGeom prst="rect">
            <a:avLst/>
          </a:prstGeom>
        </xdr:spPr>
      </xdr:pic>
      <xdr:pic>
        <xdr:nvPicPr>
          <xdr:cNvPr id="75" name="Picture 7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543550" y="5530008"/>
            <a:ext cx="182880" cy="182880"/>
          </a:xfrm>
          <a:prstGeom prst="rect">
            <a:avLst/>
          </a:prstGeom>
        </xdr:spPr>
      </xdr:pic>
      <xdr:pic>
        <xdr:nvPicPr>
          <xdr:cNvPr id="76" name="Picture 7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543550" y="8766264"/>
            <a:ext cx="182880" cy="182880"/>
          </a:xfrm>
          <a:prstGeom prst="rect">
            <a:avLst/>
          </a:prstGeom>
        </xdr:spPr>
      </xdr:pic>
      <xdr:pic>
        <xdr:nvPicPr>
          <xdr:cNvPr id="80" name="Picture 7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543550" y="8956632"/>
            <a:ext cx="182880" cy="182880"/>
          </a:xfrm>
          <a:prstGeom prst="rect">
            <a:avLst/>
          </a:prstGeom>
        </xdr:spPr>
      </xdr:pic>
      <xdr:pic>
        <xdr:nvPicPr>
          <xdr:cNvPr id="81" name="Picture 8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43550" y="6101112"/>
            <a:ext cx="182880" cy="182880"/>
          </a:xfrm>
          <a:prstGeom prst="rect">
            <a:avLst/>
          </a:prstGeom>
        </xdr:spPr>
      </xdr:pic>
      <xdr:pic>
        <xdr:nvPicPr>
          <xdr:cNvPr id="83" name="Picture 8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543550" y="5910744"/>
            <a:ext cx="182880" cy="182880"/>
          </a:xfrm>
          <a:prstGeom prst="rect">
            <a:avLst/>
          </a:prstGeom>
        </xdr:spPr>
      </xdr:pic>
      <xdr:pic>
        <xdr:nvPicPr>
          <xdr:cNvPr id="84" name="Picture 8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543550" y="9147000"/>
            <a:ext cx="182880" cy="182880"/>
          </a:xfrm>
          <a:prstGeom prst="rect">
            <a:avLst/>
          </a:prstGeom>
        </xdr:spPr>
      </xdr:pic>
      <xdr:pic>
        <xdr:nvPicPr>
          <xdr:cNvPr id="88" name="Picture 8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543550" y="9337368"/>
            <a:ext cx="182880" cy="182880"/>
          </a:xfrm>
          <a:prstGeom prst="rect">
            <a:avLst/>
          </a:prstGeom>
        </xdr:spPr>
      </xdr:pic>
      <xdr:pic>
        <xdr:nvPicPr>
          <xdr:cNvPr id="89" name="Picture 8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543550" y="6481848"/>
            <a:ext cx="182880" cy="182880"/>
          </a:xfrm>
          <a:prstGeom prst="rect">
            <a:avLst/>
          </a:prstGeom>
        </xdr:spPr>
      </xdr:pic>
      <xdr:pic>
        <xdr:nvPicPr>
          <xdr:cNvPr id="91" name="Picture 9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543550" y="6291480"/>
            <a:ext cx="182880" cy="182880"/>
          </a:xfrm>
          <a:prstGeom prst="rect">
            <a:avLst/>
          </a:prstGeom>
        </xdr:spPr>
      </xdr:pic>
      <xdr:pic>
        <xdr:nvPicPr>
          <xdr:cNvPr id="92" name="Picture 9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543550" y="9527736"/>
            <a:ext cx="182880" cy="182880"/>
          </a:xfrm>
          <a:prstGeom prst="rect">
            <a:avLst/>
          </a:prstGeom>
        </xdr:spPr>
      </xdr:pic>
      <xdr:pic>
        <xdr:nvPicPr>
          <xdr:cNvPr id="96" name="Picture 9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543550" y="9718104"/>
            <a:ext cx="182880" cy="182880"/>
          </a:xfrm>
          <a:prstGeom prst="rect">
            <a:avLst/>
          </a:prstGeom>
        </xdr:spPr>
      </xdr:pic>
      <xdr:pic>
        <xdr:nvPicPr>
          <xdr:cNvPr id="97" name="Picture 9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43550" y="6862584"/>
            <a:ext cx="182880" cy="182880"/>
          </a:xfrm>
          <a:prstGeom prst="rect">
            <a:avLst/>
          </a:prstGeom>
        </xdr:spPr>
      </xdr:pic>
      <xdr:pic>
        <xdr:nvPicPr>
          <xdr:cNvPr id="99" name="Picture 9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543550" y="6672216"/>
            <a:ext cx="182880" cy="182880"/>
          </a:xfrm>
          <a:prstGeom prst="rect">
            <a:avLst/>
          </a:prstGeom>
        </xdr:spPr>
      </xdr:pic>
      <xdr:pic>
        <xdr:nvPicPr>
          <xdr:cNvPr id="100" name="Picture 9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543550" y="9908472"/>
            <a:ext cx="182880" cy="182880"/>
          </a:xfrm>
          <a:prstGeom prst="rect">
            <a:avLst/>
          </a:prstGeom>
        </xdr:spPr>
      </xdr:pic>
      <xdr:pic>
        <xdr:nvPicPr>
          <xdr:cNvPr id="104" name="Picture 10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543550" y="10098840"/>
            <a:ext cx="182880" cy="182880"/>
          </a:xfrm>
          <a:prstGeom prst="rect">
            <a:avLst/>
          </a:prstGeom>
        </xdr:spPr>
      </xdr:pic>
      <xdr:pic>
        <xdr:nvPicPr>
          <xdr:cNvPr id="105" name="Picture 10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3550" y="7243320"/>
            <a:ext cx="182880" cy="182880"/>
          </a:xfrm>
          <a:prstGeom prst="rect">
            <a:avLst/>
          </a:prstGeom>
        </xdr:spPr>
      </xdr:pic>
      <xdr:pic>
        <xdr:nvPicPr>
          <xdr:cNvPr id="107" name="Picture 10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543550" y="7052952"/>
            <a:ext cx="182880" cy="182880"/>
          </a:xfrm>
          <a:prstGeom prst="rect">
            <a:avLst/>
          </a:prstGeom>
        </xdr:spPr>
      </xdr:pic>
      <xdr:pic>
        <xdr:nvPicPr>
          <xdr:cNvPr id="108" name="Picture 10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543550" y="10289208"/>
            <a:ext cx="182880" cy="182880"/>
          </a:xfrm>
          <a:prstGeom prst="rect">
            <a:avLst/>
          </a:prstGeom>
        </xdr:spPr>
      </xdr:pic>
      <xdr:pic>
        <xdr:nvPicPr>
          <xdr:cNvPr id="112" name="Picture 11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543550" y="10479576"/>
            <a:ext cx="182880" cy="182880"/>
          </a:xfrm>
          <a:prstGeom prst="rect">
            <a:avLst/>
          </a:prstGeom>
        </xdr:spPr>
      </xdr:pic>
      <xdr:pic>
        <xdr:nvPicPr>
          <xdr:cNvPr id="114" name="Picture 1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43550" y="4387800"/>
            <a:ext cx="182880" cy="182880"/>
          </a:xfrm>
          <a:prstGeom prst="rect">
            <a:avLst/>
          </a:prstGeom>
        </xdr:spPr>
      </xdr:pic>
      <xdr:pic>
        <xdr:nvPicPr>
          <xdr:cNvPr id="115" name="Picture 114"/>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43550" y="7433688"/>
            <a:ext cx="182880" cy="182880"/>
          </a:xfrm>
          <a:prstGeom prst="rect">
            <a:avLst/>
          </a:prstGeom>
        </xdr:spPr>
      </xdr:pic>
      <xdr:pic>
        <xdr:nvPicPr>
          <xdr:cNvPr id="116" name="Picture 115"/>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43550" y="10669944"/>
            <a:ext cx="182880" cy="182880"/>
          </a:xfrm>
          <a:prstGeom prst="rect">
            <a:avLst/>
          </a:prstGeom>
        </xdr:spPr>
      </xdr:pic>
      <xdr:pic>
        <xdr:nvPicPr>
          <xdr:cNvPr id="119" name="Picture 118"/>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543550" y="7814424"/>
            <a:ext cx="182880" cy="182880"/>
          </a:xfrm>
          <a:prstGeom prst="rect">
            <a:avLst/>
          </a:prstGeom>
        </xdr:spPr>
      </xdr:pic>
      <xdr:pic>
        <xdr:nvPicPr>
          <xdr:cNvPr id="120" name="Picture 11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543550" y="11050680"/>
            <a:ext cx="182880" cy="182880"/>
          </a:xfrm>
          <a:prstGeom prst="rect">
            <a:avLst/>
          </a:prstGeom>
        </xdr:spPr>
      </xdr:pic>
      <xdr:pic>
        <xdr:nvPicPr>
          <xdr:cNvPr id="124" name="Picture 123"/>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543550" y="10860312"/>
            <a:ext cx="182880" cy="182880"/>
          </a:xfrm>
          <a:prstGeom prst="rect">
            <a:avLst/>
          </a:prstGeom>
        </xdr:spPr>
      </xdr:pic>
      <xdr:pic>
        <xdr:nvPicPr>
          <xdr:cNvPr id="125" name="Picture 12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543550" y="8004792"/>
            <a:ext cx="182880" cy="182880"/>
          </a:xfrm>
          <a:prstGeom prst="rect">
            <a:avLst/>
          </a:prstGeom>
        </xdr:spPr>
      </xdr:pic>
      <xdr:pic>
        <xdr:nvPicPr>
          <xdr:cNvPr id="127" name="Picture 12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543550" y="8195160"/>
            <a:ext cx="182880" cy="182880"/>
          </a:xfrm>
          <a:prstGeom prst="rect">
            <a:avLst/>
          </a:prstGeom>
        </xdr:spPr>
      </xdr:pic>
      <xdr:pic>
        <xdr:nvPicPr>
          <xdr:cNvPr id="128" name="Picture 127"/>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543550" y="11431403"/>
            <a:ext cx="182880" cy="182880"/>
          </a:xfrm>
          <a:prstGeom prst="rect">
            <a:avLst/>
          </a:prstGeom>
        </xdr:spPr>
      </xdr:pic>
      <xdr:pic>
        <xdr:nvPicPr>
          <xdr:cNvPr id="132" name="Picture 131"/>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543550" y="11241048"/>
            <a:ext cx="182880" cy="182880"/>
          </a:xfrm>
          <a:prstGeom prst="rect">
            <a:avLst/>
          </a:prstGeom>
        </xdr:spPr>
      </xdr:pic>
      <xdr:pic>
        <xdr:nvPicPr>
          <xdr:cNvPr id="133" name="Picture 1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543550" y="8385528"/>
            <a:ext cx="182880" cy="182880"/>
          </a:xfrm>
          <a:prstGeom prst="rect">
            <a:avLst/>
          </a:prstGeom>
        </xdr:spPr>
      </xdr:pic>
    </xdr:grpSp>
    <xdr:clientData/>
  </xdr:twoCellAnchor>
  <xdr:twoCellAnchor>
    <xdr:from>
      <xdr:col>8</xdr:col>
      <xdr:colOff>41910</xdr:colOff>
      <xdr:row>13</xdr:row>
      <xdr:rowOff>15240</xdr:rowOff>
    </xdr:from>
    <xdr:to>
      <xdr:col>8</xdr:col>
      <xdr:colOff>224790</xdr:colOff>
      <xdr:row>61</xdr:row>
      <xdr:rowOff>1403</xdr:rowOff>
    </xdr:to>
    <xdr:grpSp>
      <xdr:nvGrpSpPr>
        <xdr:cNvPr id="25" name="Group 24"/>
        <xdr:cNvGrpSpPr/>
      </xdr:nvGrpSpPr>
      <xdr:grpSpPr>
        <a:xfrm>
          <a:off x="4271010" y="2453640"/>
          <a:ext cx="182880" cy="9130163"/>
          <a:chOff x="4385310" y="2484120"/>
          <a:chExt cx="182880" cy="9130163"/>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5310" y="2484120"/>
            <a:ext cx="182880" cy="182880"/>
          </a:xfrm>
          <a:prstGeom prst="rect">
            <a:avLst/>
          </a:prstGeom>
        </xdr:spPr>
      </xdr:pic>
      <xdr:pic>
        <xdr:nvPicPr>
          <xdr:cNvPr id="40" name="Picture 3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5310" y="5530008"/>
            <a:ext cx="182880" cy="182880"/>
          </a:xfrm>
          <a:prstGeom prst="rect">
            <a:avLst/>
          </a:prstGeom>
        </xdr:spPr>
      </xdr:pic>
      <xdr:pic>
        <xdr:nvPicPr>
          <xdr:cNvPr id="42" name="Picture 4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385310" y="4387800"/>
            <a:ext cx="182880" cy="182880"/>
          </a:xfrm>
          <a:prstGeom prst="rect">
            <a:avLst/>
          </a:prstGeom>
        </xdr:spPr>
      </xdr:pic>
      <xdr:pic>
        <xdr:nvPicPr>
          <xdr:cNvPr id="43" name="Picture 4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385310" y="3055224"/>
            <a:ext cx="182880" cy="182880"/>
          </a:xfrm>
          <a:prstGeom prst="rect">
            <a:avLst/>
          </a:prstGeom>
        </xdr:spPr>
      </xdr:pic>
      <xdr:pic>
        <xdr:nvPicPr>
          <xdr:cNvPr id="44" name="Picture 4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385310" y="3245592"/>
            <a:ext cx="182880" cy="182880"/>
          </a:xfrm>
          <a:prstGeom prst="rect">
            <a:avLst/>
          </a:prstGeom>
        </xdr:spPr>
      </xdr:pic>
      <xdr:pic>
        <xdr:nvPicPr>
          <xdr:cNvPr id="52" name="Picture 5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385310" y="4578168"/>
            <a:ext cx="182880" cy="182880"/>
          </a:xfrm>
          <a:prstGeom prst="rect">
            <a:avLst/>
          </a:prstGeom>
        </xdr:spPr>
      </xdr:pic>
      <xdr:pic>
        <xdr:nvPicPr>
          <xdr:cNvPr id="53" name="Picture 5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385310" y="3816696"/>
            <a:ext cx="182880" cy="182880"/>
          </a:xfrm>
          <a:prstGeom prst="rect">
            <a:avLst/>
          </a:prstGeom>
        </xdr:spPr>
      </xdr:pic>
      <xdr:pic>
        <xdr:nvPicPr>
          <xdr:cNvPr id="55" name="Picture 54"/>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385310" y="4007064"/>
            <a:ext cx="182880" cy="182880"/>
          </a:xfrm>
          <a:prstGeom prst="rect">
            <a:avLst/>
          </a:prstGeom>
        </xdr:spPr>
      </xdr:pic>
      <xdr:pic>
        <xdr:nvPicPr>
          <xdr:cNvPr id="56" name="Picture 5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385310" y="2864856"/>
            <a:ext cx="182880" cy="182880"/>
          </a:xfrm>
          <a:prstGeom prst="rect">
            <a:avLst/>
          </a:prstGeom>
        </xdr:spPr>
      </xdr:pic>
      <xdr:pic>
        <xdr:nvPicPr>
          <xdr:cNvPr id="58" name="Picture 57"/>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385310" y="4768536"/>
            <a:ext cx="182880" cy="182880"/>
          </a:xfrm>
          <a:prstGeom prst="rect">
            <a:avLst/>
          </a:prstGeom>
        </xdr:spPr>
      </xdr:pic>
      <xdr:pic>
        <xdr:nvPicPr>
          <xdr:cNvPr id="59" name="Picture 58"/>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385310" y="5149272"/>
            <a:ext cx="182880" cy="182880"/>
          </a:xfrm>
          <a:prstGeom prst="rect">
            <a:avLst/>
          </a:prstGeom>
        </xdr:spPr>
      </xdr:pic>
      <xdr:pic>
        <xdr:nvPicPr>
          <xdr:cNvPr id="60" name="Picture 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385310" y="5339640"/>
            <a:ext cx="182880" cy="182880"/>
          </a:xfrm>
          <a:prstGeom prst="rect">
            <a:avLst/>
          </a:prstGeom>
        </xdr:spPr>
      </xdr:pic>
      <xdr:pic>
        <xdr:nvPicPr>
          <xdr:cNvPr id="62" name="Picture 6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85310" y="3435960"/>
            <a:ext cx="182880" cy="182880"/>
          </a:xfrm>
          <a:prstGeom prst="rect">
            <a:avLst/>
          </a:prstGeom>
        </xdr:spPr>
      </xdr:pic>
      <xdr:pic>
        <xdr:nvPicPr>
          <xdr:cNvPr id="65" name="Picture 6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385310" y="4958904"/>
            <a:ext cx="182880" cy="182880"/>
          </a:xfrm>
          <a:prstGeom prst="rect">
            <a:avLst/>
          </a:prstGeom>
        </xdr:spPr>
      </xdr:pic>
      <xdr:pic>
        <xdr:nvPicPr>
          <xdr:cNvPr id="69" name="Picture 68"/>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385310" y="4197432"/>
            <a:ext cx="182880" cy="182880"/>
          </a:xfrm>
          <a:prstGeom prst="rect">
            <a:avLst/>
          </a:prstGeom>
        </xdr:spPr>
      </xdr:pic>
      <xdr:pic>
        <xdr:nvPicPr>
          <xdr:cNvPr id="71" name="Picture 7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85310" y="2674488"/>
            <a:ext cx="182880" cy="182880"/>
          </a:xfrm>
          <a:prstGeom prst="rect">
            <a:avLst/>
          </a:prstGeom>
        </xdr:spPr>
      </xdr:pic>
      <xdr:pic>
        <xdr:nvPicPr>
          <xdr:cNvPr id="72" name="Picture 7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385310" y="3626328"/>
            <a:ext cx="182880" cy="182880"/>
          </a:xfrm>
          <a:prstGeom prst="rect">
            <a:avLst/>
          </a:prstGeom>
        </xdr:spPr>
      </xdr:pic>
      <xdr:pic>
        <xdr:nvPicPr>
          <xdr:cNvPr id="74" name="Picture 7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385310" y="8766264"/>
            <a:ext cx="182880" cy="182880"/>
          </a:xfrm>
          <a:prstGeom prst="rect">
            <a:avLst/>
          </a:prstGeom>
        </xdr:spPr>
      </xdr:pic>
      <xdr:pic>
        <xdr:nvPicPr>
          <xdr:cNvPr id="77" name="Picture 7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85310" y="5720376"/>
            <a:ext cx="182880" cy="182880"/>
          </a:xfrm>
          <a:prstGeom prst="rect">
            <a:avLst/>
          </a:prstGeom>
        </xdr:spPr>
      </xdr:pic>
      <xdr:pic>
        <xdr:nvPicPr>
          <xdr:cNvPr id="78" name="Picture 7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85310" y="8575896"/>
            <a:ext cx="182880" cy="182880"/>
          </a:xfrm>
          <a:prstGeom prst="rect">
            <a:avLst/>
          </a:prstGeom>
        </xdr:spPr>
      </xdr:pic>
      <xdr:pic>
        <xdr:nvPicPr>
          <xdr:cNvPr id="79" name="Picture 7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385310" y="5910744"/>
            <a:ext cx="182880" cy="182880"/>
          </a:xfrm>
          <a:prstGeom prst="rect">
            <a:avLst/>
          </a:prstGeom>
        </xdr:spPr>
      </xdr:pic>
      <xdr:pic>
        <xdr:nvPicPr>
          <xdr:cNvPr id="82" name="Picture 8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85310" y="9147000"/>
            <a:ext cx="182880" cy="182880"/>
          </a:xfrm>
          <a:prstGeom prst="rect">
            <a:avLst/>
          </a:prstGeom>
        </xdr:spPr>
      </xdr:pic>
      <xdr:pic>
        <xdr:nvPicPr>
          <xdr:cNvPr id="85" name="Picture 8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85310" y="6101112"/>
            <a:ext cx="182880" cy="182880"/>
          </a:xfrm>
          <a:prstGeom prst="rect">
            <a:avLst/>
          </a:prstGeom>
        </xdr:spPr>
      </xdr:pic>
      <xdr:pic>
        <xdr:nvPicPr>
          <xdr:cNvPr id="86" name="Picture 8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85310" y="8956632"/>
            <a:ext cx="182880" cy="182880"/>
          </a:xfrm>
          <a:prstGeom prst="rect">
            <a:avLst/>
          </a:prstGeom>
        </xdr:spPr>
      </xdr:pic>
      <xdr:pic>
        <xdr:nvPicPr>
          <xdr:cNvPr id="87" name="Picture 8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385310" y="6291480"/>
            <a:ext cx="182880" cy="182880"/>
          </a:xfrm>
          <a:prstGeom prst="rect">
            <a:avLst/>
          </a:prstGeom>
        </xdr:spPr>
      </xdr:pic>
      <xdr:pic>
        <xdr:nvPicPr>
          <xdr:cNvPr id="90" name="Picture 8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385310" y="9527736"/>
            <a:ext cx="182880" cy="182880"/>
          </a:xfrm>
          <a:prstGeom prst="rect">
            <a:avLst/>
          </a:prstGeom>
        </xdr:spPr>
      </xdr:pic>
      <xdr:pic>
        <xdr:nvPicPr>
          <xdr:cNvPr id="93" name="Picture 9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85310" y="6481848"/>
            <a:ext cx="182880" cy="182880"/>
          </a:xfrm>
          <a:prstGeom prst="rect">
            <a:avLst/>
          </a:prstGeom>
        </xdr:spPr>
      </xdr:pic>
      <xdr:pic>
        <xdr:nvPicPr>
          <xdr:cNvPr id="94" name="Picture 9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85310" y="9337368"/>
            <a:ext cx="182880" cy="182880"/>
          </a:xfrm>
          <a:prstGeom prst="rect">
            <a:avLst/>
          </a:prstGeom>
        </xdr:spPr>
      </xdr:pic>
      <xdr:pic>
        <xdr:nvPicPr>
          <xdr:cNvPr id="95" name="Picture 9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385310" y="6672216"/>
            <a:ext cx="182880" cy="182880"/>
          </a:xfrm>
          <a:prstGeom prst="rect">
            <a:avLst/>
          </a:prstGeom>
        </xdr:spPr>
      </xdr:pic>
      <xdr:pic>
        <xdr:nvPicPr>
          <xdr:cNvPr id="98" name="Picture 9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85310" y="9908472"/>
            <a:ext cx="182880" cy="182880"/>
          </a:xfrm>
          <a:prstGeom prst="rect">
            <a:avLst/>
          </a:prstGeom>
        </xdr:spPr>
      </xdr:pic>
      <xdr:pic>
        <xdr:nvPicPr>
          <xdr:cNvPr id="101" name="Picture 10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85310" y="6862584"/>
            <a:ext cx="182880" cy="182880"/>
          </a:xfrm>
          <a:prstGeom prst="rect">
            <a:avLst/>
          </a:prstGeom>
        </xdr:spPr>
      </xdr:pic>
      <xdr:pic>
        <xdr:nvPicPr>
          <xdr:cNvPr id="102" name="Picture 10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85310" y="9718104"/>
            <a:ext cx="182880" cy="182880"/>
          </a:xfrm>
          <a:prstGeom prst="rect">
            <a:avLst/>
          </a:prstGeom>
        </xdr:spPr>
      </xdr:pic>
      <xdr:pic>
        <xdr:nvPicPr>
          <xdr:cNvPr id="103" name="Picture 102"/>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385310" y="7052952"/>
            <a:ext cx="182880" cy="182880"/>
          </a:xfrm>
          <a:prstGeom prst="rect">
            <a:avLst/>
          </a:prstGeom>
        </xdr:spPr>
      </xdr:pic>
      <xdr:pic>
        <xdr:nvPicPr>
          <xdr:cNvPr id="106" name="Picture 10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5310" y="10289208"/>
            <a:ext cx="182880" cy="182880"/>
          </a:xfrm>
          <a:prstGeom prst="rect">
            <a:avLst/>
          </a:prstGeom>
        </xdr:spPr>
      </xdr:pic>
      <xdr:pic>
        <xdr:nvPicPr>
          <xdr:cNvPr id="109" name="Picture 10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310" y="7243320"/>
            <a:ext cx="182880" cy="182880"/>
          </a:xfrm>
          <a:prstGeom prst="rect">
            <a:avLst/>
          </a:prstGeom>
        </xdr:spPr>
      </xdr:pic>
      <xdr:pic>
        <xdr:nvPicPr>
          <xdr:cNvPr id="110" name="Picture 10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310" y="10098840"/>
            <a:ext cx="182880" cy="182880"/>
          </a:xfrm>
          <a:prstGeom prst="rect">
            <a:avLst/>
          </a:prstGeom>
        </xdr:spPr>
      </xdr:pic>
      <xdr:pic>
        <xdr:nvPicPr>
          <xdr:cNvPr id="111" name="Picture 11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385310" y="7433688"/>
            <a:ext cx="182880" cy="182880"/>
          </a:xfrm>
          <a:prstGeom prst="rect">
            <a:avLst/>
          </a:prstGeom>
        </xdr:spPr>
      </xdr:pic>
      <xdr:pic>
        <xdr:nvPicPr>
          <xdr:cNvPr id="113" name="Picture 11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385310" y="10669944"/>
            <a:ext cx="182880" cy="182880"/>
          </a:xfrm>
          <a:prstGeom prst="rect">
            <a:avLst/>
          </a:prstGeom>
        </xdr:spPr>
      </xdr:pic>
      <xdr:pic>
        <xdr:nvPicPr>
          <xdr:cNvPr id="117" name="Picture 11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85310" y="7624056"/>
            <a:ext cx="182880" cy="182880"/>
          </a:xfrm>
          <a:prstGeom prst="rect">
            <a:avLst/>
          </a:prstGeom>
        </xdr:spPr>
      </xdr:pic>
      <xdr:pic>
        <xdr:nvPicPr>
          <xdr:cNvPr id="118" name="Picture 1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85310" y="10479576"/>
            <a:ext cx="182880" cy="182880"/>
          </a:xfrm>
          <a:prstGeom prst="rect">
            <a:avLst/>
          </a:prstGeom>
        </xdr:spPr>
      </xdr:pic>
      <xdr:pic>
        <xdr:nvPicPr>
          <xdr:cNvPr id="121" name="Picture 12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85310" y="8004792"/>
            <a:ext cx="182880" cy="182880"/>
          </a:xfrm>
          <a:prstGeom prst="rect">
            <a:avLst/>
          </a:prstGeom>
        </xdr:spPr>
      </xdr:pic>
      <xdr:pic>
        <xdr:nvPicPr>
          <xdr:cNvPr id="122" name="Picture 12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85310" y="10860312"/>
            <a:ext cx="182880" cy="182880"/>
          </a:xfrm>
          <a:prstGeom prst="rect">
            <a:avLst/>
          </a:prstGeom>
        </xdr:spPr>
      </xdr:pic>
      <xdr:pic>
        <xdr:nvPicPr>
          <xdr:cNvPr id="123" name="Picture 122"/>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385310" y="7814424"/>
            <a:ext cx="182880" cy="182880"/>
          </a:xfrm>
          <a:prstGeom prst="rect">
            <a:avLst/>
          </a:prstGeom>
        </xdr:spPr>
      </xdr:pic>
      <xdr:pic>
        <xdr:nvPicPr>
          <xdr:cNvPr id="126" name="Picture 12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385310" y="11050680"/>
            <a:ext cx="182880" cy="182880"/>
          </a:xfrm>
          <a:prstGeom prst="rect">
            <a:avLst/>
          </a:prstGeom>
        </xdr:spPr>
      </xdr:pic>
      <xdr:pic>
        <xdr:nvPicPr>
          <xdr:cNvPr id="129" name="Picture 12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85310" y="8385528"/>
            <a:ext cx="182880" cy="182880"/>
          </a:xfrm>
          <a:prstGeom prst="rect">
            <a:avLst/>
          </a:prstGeom>
        </xdr:spPr>
      </xdr:pic>
      <xdr:pic>
        <xdr:nvPicPr>
          <xdr:cNvPr id="130" name="Picture 12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85310" y="11241048"/>
            <a:ext cx="182880" cy="182880"/>
          </a:xfrm>
          <a:prstGeom prst="rect">
            <a:avLst/>
          </a:prstGeom>
        </xdr:spPr>
      </xdr:pic>
      <xdr:pic>
        <xdr:nvPicPr>
          <xdr:cNvPr id="131" name="Picture 130"/>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385310" y="8195160"/>
            <a:ext cx="182880" cy="182880"/>
          </a:xfrm>
          <a:prstGeom prst="rect">
            <a:avLst/>
          </a:prstGeom>
        </xdr:spPr>
      </xdr:pic>
      <xdr:pic>
        <xdr:nvPicPr>
          <xdr:cNvPr id="134" name="Picture 13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385310" y="11431403"/>
            <a:ext cx="182880" cy="182880"/>
          </a:xfrm>
          <a:prstGeom prst="rect">
            <a:avLst/>
          </a:prstGeom>
        </xdr:spPr>
      </xdr:pic>
    </xdr:grpSp>
    <xdr:clientData/>
  </xdr:twoCellAnchor>
  <mc:AlternateContent xmlns:mc="http://schemas.openxmlformats.org/markup-compatibility/2006">
    <mc:Choice xmlns:a14="http://schemas.microsoft.com/office/drawing/2010/main" Requires="a14">
      <xdr:twoCellAnchor>
        <xdr:from>
          <xdr:col>17</xdr:col>
          <xdr:colOff>0</xdr:colOff>
          <xdr:row>9</xdr:row>
          <xdr:rowOff>0</xdr:rowOff>
        </xdr:from>
        <xdr:to>
          <xdr:col>28</xdr:col>
          <xdr:colOff>28575</xdr:colOff>
          <xdr:row>59</xdr:row>
          <xdr:rowOff>9525</xdr:rowOff>
        </xdr:to>
        <xdr:pic>
          <xdr:nvPicPr>
            <xdr:cNvPr id="1127" name="Picture 91"/>
            <xdr:cNvPicPr>
              <a:picLocks noChangeAspect="1" noChangeArrowheads="1"/>
              <a:extLst>
                <a:ext uri="{84589F7E-364E-4C9E-8A38-B11213B215E9}">
                  <a14:cameraTool cellRange="'Countries and Timezone'!$T$158:$AC$207" spid="_x0000_s1195"/>
                </a:ext>
              </a:extLst>
            </xdr:cNvPicPr>
          </xdr:nvPicPr>
          <xdr:blipFill>
            <a:blip xmlns:r="http://schemas.openxmlformats.org/officeDocument/2006/relationships" r:embed="rId33"/>
            <a:srcRect/>
            <a:stretch>
              <a:fillRect/>
            </a:stretch>
          </xdr:blipFill>
          <xdr:spPr bwMode="auto">
            <a:xfrm>
              <a:off x="7477125" y="1676400"/>
              <a:ext cx="5572125" cy="9534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66</xdr:row>
          <xdr:rowOff>0</xdr:rowOff>
        </xdr:from>
        <xdr:to>
          <xdr:col>8</xdr:col>
          <xdr:colOff>85725</xdr:colOff>
          <xdr:row>67</xdr:row>
          <xdr:rowOff>0</xdr:rowOff>
        </xdr:to>
        <xdr:pic>
          <xdr:nvPicPr>
            <xdr:cNvPr id="1128" name="Picture 2"/>
            <xdr:cNvPicPr>
              <a:picLocks noChangeAspect="1" noChangeArrowheads="1"/>
              <a:extLst>
                <a:ext uri="{84589F7E-364E-4C9E-8A38-B11213B215E9}">
                  <a14:cameraTool cellRange="Flag33" spid="_x0000_s1196"/>
                </a:ext>
              </a:extLst>
            </xdr:cNvPicPr>
          </xdr:nvPicPr>
          <xdr:blipFill>
            <a:blip xmlns:r="http://schemas.openxmlformats.org/officeDocument/2006/relationships" r:embed="rId34"/>
            <a:srcRect/>
            <a:stretch>
              <a:fillRect/>
            </a:stretch>
          </xdr:blipFill>
          <xdr:spPr bwMode="auto">
            <a:xfrm>
              <a:off x="4210050" y="12534900"/>
              <a:ext cx="104775"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72</xdr:row>
          <xdr:rowOff>0</xdr:rowOff>
        </xdr:from>
        <xdr:to>
          <xdr:col>8</xdr:col>
          <xdr:colOff>104775</xdr:colOff>
          <xdr:row>73</xdr:row>
          <xdr:rowOff>9525</xdr:rowOff>
        </xdr:to>
        <xdr:pic>
          <xdr:nvPicPr>
            <xdr:cNvPr id="1129" name="Picture 3"/>
            <xdr:cNvPicPr>
              <a:picLocks noChangeAspect="1" noChangeArrowheads="1"/>
              <a:extLst>
                <a:ext uri="{84589F7E-364E-4C9E-8A38-B11213B215E9}">
                  <a14:cameraTool cellRange="Flag35" spid="_x0000_s1197"/>
                </a:ext>
              </a:extLst>
            </xdr:cNvPicPr>
          </xdr:nvPicPr>
          <xdr:blipFill>
            <a:blip xmlns:r="http://schemas.openxmlformats.org/officeDocument/2006/relationships" r:embed="rId35"/>
            <a:srcRect/>
            <a:stretch>
              <a:fillRect/>
            </a:stretch>
          </xdr:blipFill>
          <xdr:spPr bwMode="auto">
            <a:xfrm>
              <a:off x="4210050" y="13677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78</xdr:row>
          <xdr:rowOff>0</xdr:rowOff>
        </xdr:from>
        <xdr:to>
          <xdr:col>8</xdr:col>
          <xdr:colOff>104775</xdr:colOff>
          <xdr:row>79</xdr:row>
          <xdr:rowOff>9525</xdr:rowOff>
        </xdr:to>
        <xdr:pic>
          <xdr:nvPicPr>
            <xdr:cNvPr id="1130" name="Picture 4"/>
            <xdr:cNvPicPr>
              <a:picLocks noChangeAspect="1" noChangeArrowheads="1"/>
              <a:extLst>
                <a:ext uri="{84589F7E-364E-4C9E-8A38-B11213B215E9}">
                  <a14:cameraTool cellRange="Flag37" spid="_x0000_s1198"/>
                </a:ext>
              </a:extLst>
            </xdr:cNvPicPr>
          </xdr:nvPicPr>
          <xdr:blipFill>
            <a:blip xmlns:r="http://schemas.openxmlformats.org/officeDocument/2006/relationships" r:embed="rId36"/>
            <a:srcRect/>
            <a:stretch>
              <a:fillRect/>
            </a:stretch>
          </xdr:blipFill>
          <xdr:spPr bwMode="auto">
            <a:xfrm>
              <a:off x="4210050" y="14820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84</xdr:row>
          <xdr:rowOff>0</xdr:rowOff>
        </xdr:from>
        <xdr:to>
          <xdr:col>8</xdr:col>
          <xdr:colOff>104775</xdr:colOff>
          <xdr:row>85</xdr:row>
          <xdr:rowOff>9525</xdr:rowOff>
        </xdr:to>
        <xdr:pic>
          <xdr:nvPicPr>
            <xdr:cNvPr id="1131" name="Picture 5"/>
            <xdr:cNvPicPr>
              <a:picLocks noChangeAspect="1" noChangeArrowheads="1"/>
              <a:extLst>
                <a:ext uri="{84589F7E-364E-4C9E-8A38-B11213B215E9}">
                  <a14:cameraTool cellRange="Flag39" spid="_x0000_s1199"/>
                </a:ext>
              </a:extLst>
            </xdr:cNvPicPr>
          </xdr:nvPicPr>
          <xdr:blipFill>
            <a:blip xmlns:r="http://schemas.openxmlformats.org/officeDocument/2006/relationships" r:embed="rId37"/>
            <a:srcRect/>
            <a:stretch>
              <a:fillRect/>
            </a:stretch>
          </xdr:blipFill>
          <xdr:spPr bwMode="auto">
            <a:xfrm>
              <a:off x="4210050" y="15963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90</xdr:row>
          <xdr:rowOff>0</xdr:rowOff>
        </xdr:from>
        <xdr:to>
          <xdr:col>8</xdr:col>
          <xdr:colOff>104775</xdr:colOff>
          <xdr:row>91</xdr:row>
          <xdr:rowOff>9525</xdr:rowOff>
        </xdr:to>
        <xdr:pic>
          <xdr:nvPicPr>
            <xdr:cNvPr id="1132" name="Picture 6"/>
            <xdr:cNvPicPr>
              <a:picLocks noChangeAspect="1" noChangeArrowheads="1"/>
              <a:extLst>
                <a:ext uri="{84589F7E-364E-4C9E-8A38-B11213B215E9}">
                  <a14:cameraTool cellRange="Flag41" spid="_x0000_s1200"/>
                </a:ext>
              </a:extLst>
            </xdr:cNvPicPr>
          </xdr:nvPicPr>
          <xdr:blipFill>
            <a:blip xmlns:r="http://schemas.openxmlformats.org/officeDocument/2006/relationships" r:embed="rId38"/>
            <a:srcRect/>
            <a:stretch>
              <a:fillRect/>
            </a:stretch>
          </xdr:blipFill>
          <xdr:spPr bwMode="auto">
            <a:xfrm>
              <a:off x="4210050" y="17106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96</xdr:row>
          <xdr:rowOff>0</xdr:rowOff>
        </xdr:from>
        <xdr:to>
          <xdr:col>8</xdr:col>
          <xdr:colOff>104775</xdr:colOff>
          <xdr:row>97</xdr:row>
          <xdr:rowOff>9525</xdr:rowOff>
        </xdr:to>
        <xdr:pic>
          <xdr:nvPicPr>
            <xdr:cNvPr id="1133" name="Picture 7"/>
            <xdr:cNvPicPr>
              <a:picLocks noChangeAspect="1" noChangeArrowheads="1"/>
              <a:extLst>
                <a:ext uri="{84589F7E-364E-4C9E-8A38-B11213B215E9}">
                  <a14:cameraTool cellRange="Flag43" spid="_x0000_s1201"/>
                </a:ext>
              </a:extLst>
            </xdr:cNvPicPr>
          </xdr:nvPicPr>
          <xdr:blipFill>
            <a:blip xmlns:r="http://schemas.openxmlformats.org/officeDocument/2006/relationships" r:embed="rId39"/>
            <a:srcRect/>
            <a:stretch>
              <a:fillRect/>
            </a:stretch>
          </xdr:blipFill>
          <xdr:spPr bwMode="auto">
            <a:xfrm>
              <a:off x="4210050" y="18249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102</xdr:row>
          <xdr:rowOff>0</xdr:rowOff>
        </xdr:from>
        <xdr:to>
          <xdr:col>8</xdr:col>
          <xdr:colOff>104775</xdr:colOff>
          <xdr:row>103</xdr:row>
          <xdr:rowOff>9525</xdr:rowOff>
        </xdr:to>
        <xdr:pic>
          <xdr:nvPicPr>
            <xdr:cNvPr id="1134" name="Picture 8"/>
            <xdr:cNvPicPr>
              <a:picLocks noChangeAspect="1" noChangeArrowheads="1"/>
              <a:extLst>
                <a:ext uri="{84589F7E-364E-4C9E-8A38-B11213B215E9}">
                  <a14:cameraTool cellRange="Flag45" spid="_x0000_s1202"/>
                </a:ext>
              </a:extLst>
            </xdr:cNvPicPr>
          </xdr:nvPicPr>
          <xdr:blipFill>
            <a:blip xmlns:r="http://schemas.openxmlformats.org/officeDocument/2006/relationships" r:embed="rId40"/>
            <a:srcRect/>
            <a:stretch>
              <a:fillRect/>
            </a:stretch>
          </xdr:blipFill>
          <xdr:spPr bwMode="auto">
            <a:xfrm>
              <a:off x="4210050" y="19392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108</xdr:row>
          <xdr:rowOff>0</xdr:rowOff>
        </xdr:from>
        <xdr:to>
          <xdr:col>8</xdr:col>
          <xdr:colOff>104775</xdr:colOff>
          <xdr:row>109</xdr:row>
          <xdr:rowOff>9525</xdr:rowOff>
        </xdr:to>
        <xdr:pic>
          <xdr:nvPicPr>
            <xdr:cNvPr id="1135" name="Picture 9"/>
            <xdr:cNvPicPr>
              <a:picLocks noChangeAspect="1" noChangeArrowheads="1"/>
              <a:extLst>
                <a:ext uri="{84589F7E-364E-4C9E-8A38-B11213B215E9}">
                  <a14:cameraTool cellRange="Flag47" spid="_x0000_s1203"/>
                </a:ext>
              </a:extLst>
            </xdr:cNvPicPr>
          </xdr:nvPicPr>
          <xdr:blipFill>
            <a:blip xmlns:r="http://schemas.openxmlformats.org/officeDocument/2006/relationships" r:embed="rId41"/>
            <a:srcRect/>
            <a:stretch>
              <a:fillRect/>
            </a:stretch>
          </xdr:blipFill>
          <xdr:spPr bwMode="auto">
            <a:xfrm>
              <a:off x="4210050" y="20535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66</xdr:row>
          <xdr:rowOff>0</xdr:rowOff>
        </xdr:from>
        <xdr:to>
          <xdr:col>13</xdr:col>
          <xdr:colOff>228600</xdr:colOff>
          <xdr:row>67</xdr:row>
          <xdr:rowOff>0</xdr:rowOff>
        </xdr:to>
        <xdr:pic>
          <xdr:nvPicPr>
            <xdr:cNvPr id="1136" name="Picture 10"/>
            <xdr:cNvPicPr>
              <a:picLocks noChangeAspect="1" noChangeArrowheads="1"/>
              <a:extLst>
                <a:ext uri="{84589F7E-364E-4C9E-8A38-B11213B215E9}">
                  <a14:cameraTool cellRange="Flag34" spid="_x0000_s1204"/>
                </a:ext>
              </a:extLst>
            </xdr:cNvPicPr>
          </xdr:nvPicPr>
          <xdr:blipFill>
            <a:blip xmlns:r="http://schemas.openxmlformats.org/officeDocument/2006/relationships" r:embed="rId42"/>
            <a:srcRect/>
            <a:stretch>
              <a:fillRect/>
            </a:stretch>
          </xdr:blipFill>
          <xdr:spPr bwMode="auto">
            <a:xfrm>
              <a:off x="5429250" y="12534900"/>
              <a:ext cx="409575"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72</xdr:row>
          <xdr:rowOff>0</xdr:rowOff>
        </xdr:from>
        <xdr:to>
          <xdr:col>13</xdr:col>
          <xdr:colOff>247650</xdr:colOff>
          <xdr:row>73</xdr:row>
          <xdr:rowOff>9525</xdr:rowOff>
        </xdr:to>
        <xdr:pic>
          <xdr:nvPicPr>
            <xdr:cNvPr id="1137" name="Picture 11"/>
            <xdr:cNvPicPr>
              <a:picLocks noChangeAspect="1" noChangeArrowheads="1"/>
              <a:extLst>
                <a:ext uri="{84589F7E-364E-4C9E-8A38-B11213B215E9}">
                  <a14:cameraTool cellRange="Flag36" spid="_x0000_s1205"/>
                </a:ext>
              </a:extLst>
            </xdr:cNvPicPr>
          </xdr:nvPicPr>
          <xdr:blipFill>
            <a:blip xmlns:r="http://schemas.openxmlformats.org/officeDocument/2006/relationships" r:embed="rId43"/>
            <a:srcRect/>
            <a:stretch>
              <a:fillRect/>
            </a:stretch>
          </xdr:blipFill>
          <xdr:spPr bwMode="auto">
            <a:xfrm>
              <a:off x="5429250" y="13677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78</xdr:row>
          <xdr:rowOff>0</xdr:rowOff>
        </xdr:from>
        <xdr:to>
          <xdr:col>13</xdr:col>
          <xdr:colOff>247650</xdr:colOff>
          <xdr:row>79</xdr:row>
          <xdr:rowOff>9525</xdr:rowOff>
        </xdr:to>
        <xdr:pic>
          <xdr:nvPicPr>
            <xdr:cNvPr id="1138" name="Picture 12"/>
            <xdr:cNvPicPr>
              <a:picLocks noChangeAspect="1" noChangeArrowheads="1"/>
              <a:extLst>
                <a:ext uri="{84589F7E-364E-4C9E-8A38-B11213B215E9}">
                  <a14:cameraTool cellRange="Flag38" spid="_x0000_s1206"/>
                </a:ext>
              </a:extLst>
            </xdr:cNvPicPr>
          </xdr:nvPicPr>
          <xdr:blipFill>
            <a:blip xmlns:r="http://schemas.openxmlformats.org/officeDocument/2006/relationships" r:embed="rId44"/>
            <a:srcRect/>
            <a:stretch>
              <a:fillRect/>
            </a:stretch>
          </xdr:blipFill>
          <xdr:spPr bwMode="auto">
            <a:xfrm>
              <a:off x="5429250" y="14820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84</xdr:row>
          <xdr:rowOff>0</xdr:rowOff>
        </xdr:from>
        <xdr:to>
          <xdr:col>13</xdr:col>
          <xdr:colOff>247650</xdr:colOff>
          <xdr:row>85</xdr:row>
          <xdr:rowOff>9525</xdr:rowOff>
        </xdr:to>
        <xdr:pic>
          <xdr:nvPicPr>
            <xdr:cNvPr id="1139" name="Picture 13"/>
            <xdr:cNvPicPr>
              <a:picLocks noChangeAspect="1" noChangeArrowheads="1"/>
              <a:extLst>
                <a:ext uri="{84589F7E-364E-4C9E-8A38-B11213B215E9}">
                  <a14:cameraTool cellRange="Flag40" spid="_x0000_s1207"/>
                </a:ext>
              </a:extLst>
            </xdr:cNvPicPr>
          </xdr:nvPicPr>
          <xdr:blipFill>
            <a:blip xmlns:r="http://schemas.openxmlformats.org/officeDocument/2006/relationships" r:embed="rId45"/>
            <a:srcRect/>
            <a:stretch>
              <a:fillRect/>
            </a:stretch>
          </xdr:blipFill>
          <xdr:spPr bwMode="auto">
            <a:xfrm>
              <a:off x="5429250" y="15963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90</xdr:row>
          <xdr:rowOff>0</xdr:rowOff>
        </xdr:from>
        <xdr:to>
          <xdr:col>13</xdr:col>
          <xdr:colOff>247650</xdr:colOff>
          <xdr:row>91</xdr:row>
          <xdr:rowOff>9525</xdr:rowOff>
        </xdr:to>
        <xdr:pic>
          <xdr:nvPicPr>
            <xdr:cNvPr id="1140" name="Picture 14"/>
            <xdr:cNvPicPr>
              <a:picLocks noChangeAspect="1" noChangeArrowheads="1"/>
              <a:extLst>
                <a:ext uri="{84589F7E-364E-4C9E-8A38-B11213B215E9}">
                  <a14:cameraTool cellRange="Flag42" spid="_x0000_s1208"/>
                </a:ext>
              </a:extLst>
            </xdr:cNvPicPr>
          </xdr:nvPicPr>
          <xdr:blipFill>
            <a:blip xmlns:r="http://schemas.openxmlformats.org/officeDocument/2006/relationships" r:embed="rId46"/>
            <a:srcRect/>
            <a:stretch>
              <a:fillRect/>
            </a:stretch>
          </xdr:blipFill>
          <xdr:spPr bwMode="auto">
            <a:xfrm>
              <a:off x="5429250" y="17106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96</xdr:row>
          <xdr:rowOff>0</xdr:rowOff>
        </xdr:from>
        <xdr:to>
          <xdr:col>13</xdr:col>
          <xdr:colOff>247650</xdr:colOff>
          <xdr:row>97</xdr:row>
          <xdr:rowOff>9525</xdr:rowOff>
        </xdr:to>
        <xdr:pic>
          <xdr:nvPicPr>
            <xdr:cNvPr id="1141" name="Picture 15"/>
            <xdr:cNvPicPr>
              <a:picLocks noChangeAspect="1" noChangeArrowheads="1"/>
              <a:extLst>
                <a:ext uri="{84589F7E-364E-4C9E-8A38-B11213B215E9}">
                  <a14:cameraTool cellRange="Flag44" spid="_x0000_s1209"/>
                </a:ext>
              </a:extLst>
            </xdr:cNvPicPr>
          </xdr:nvPicPr>
          <xdr:blipFill>
            <a:blip xmlns:r="http://schemas.openxmlformats.org/officeDocument/2006/relationships" r:embed="rId47"/>
            <a:srcRect/>
            <a:stretch>
              <a:fillRect/>
            </a:stretch>
          </xdr:blipFill>
          <xdr:spPr bwMode="auto">
            <a:xfrm>
              <a:off x="5429250" y="18249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102</xdr:row>
          <xdr:rowOff>0</xdr:rowOff>
        </xdr:from>
        <xdr:to>
          <xdr:col>13</xdr:col>
          <xdr:colOff>247650</xdr:colOff>
          <xdr:row>103</xdr:row>
          <xdr:rowOff>9525</xdr:rowOff>
        </xdr:to>
        <xdr:pic>
          <xdr:nvPicPr>
            <xdr:cNvPr id="1142" name="Picture 16"/>
            <xdr:cNvPicPr>
              <a:picLocks noChangeAspect="1" noChangeArrowheads="1"/>
              <a:extLst>
                <a:ext uri="{84589F7E-364E-4C9E-8A38-B11213B215E9}">
                  <a14:cameraTool cellRange="Flag46" spid="_x0000_s1210"/>
                </a:ext>
              </a:extLst>
            </xdr:cNvPicPr>
          </xdr:nvPicPr>
          <xdr:blipFill>
            <a:blip xmlns:r="http://schemas.openxmlformats.org/officeDocument/2006/relationships" r:embed="rId48"/>
            <a:srcRect/>
            <a:stretch>
              <a:fillRect/>
            </a:stretch>
          </xdr:blipFill>
          <xdr:spPr bwMode="auto">
            <a:xfrm>
              <a:off x="5429250" y="19392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108</xdr:row>
          <xdr:rowOff>0</xdr:rowOff>
        </xdr:from>
        <xdr:to>
          <xdr:col>13</xdr:col>
          <xdr:colOff>247650</xdr:colOff>
          <xdr:row>109</xdr:row>
          <xdr:rowOff>9525</xdr:rowOff>
        </xdr:to>
        <xdr:pic>
          <xdr:nvPicPr>
            <xdr:cNvPr id="1143" name="Picture 17"/>
            <xdr:cNvPicPr>
              <a:picLocks noChangeAspect="1" noChangeArrowheads="1"/>
              <a:extLst>
                <a:ext uri="{84589F7E-364E-4C9E-8A38-B11213B215E9}">
                  <a14:cameraTool cellRange="Flag48" spid="_x0000_s1211"/>
                </a:ext>
              </a:extLst>
            </xdr:cNvPicPr>
          </xdr:nvPicPr>
          <xdr:blipFill>
            <a:blip xmlns:r="http://schemas.openxmlformats.org/officeDocument/2006/relationships" r:embed="rId49"/>
            <a:srcRect/>
            <a:stretch>
              <a:fillRect/>
            </a:stretch>
          </xdr:blipFill>
          <xdr:spPr bwMode="auto">
            <a:xfrm>
              <a:off x="5429250" y="20535900"/>
              <a:ext cx="4286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1343025</xdr:colOff>
          <xdr:row>66</xdr:row>
          <xdr:rowOff>9525</xdr:rowOff>
        </xdr:from>
        <xdr:to>
          <xdr:col>23</xdr:col>
          <xdr:colOff>0</xdr:colOff>
          <xdr:row>67</xdr:row>
          <xdr:rowOff>19050</xdr:rowOff>
        </xdr:to>
        <xdr:pic>
          <xdr:nvPicPr>
            <xdr:cNvPr id="1144" name="Picture 18"/>
            <xdr:cNvPicPr>
              <a:picLocks noChangeAspect="1" noChangeArrowheads="1"/>
              <a:extLst>
                <a:ext uri="{84589F7E-364E-4C9E-8A38-B11213B215E9}">
                  <a14:cameraTool cellRange="Flag49" spid="_x0000_s1212"/>
                </a:ext>
              </a:extLst>
            </xdr:cNvPicPr>
          </xdr:nvPicPr>
          <xdr:blipFill>
            <a:blip xmlns:r="http://schemas.openxmlformats.org/officeDocument/2006/relationships" r:embed="rId50"/>
            <a:srcRect/>
            <a:stretch>
              <a:fillRect/>
            </a:stretch>
          </xdr:blipFill>
          <xdr:spPr bwMode="auto">
            <a:xfrm>
              <a:off x="10620375" y="12544425"/>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1343025</xdr:colOff>
          <xdr:row>71</xdr:row>
          <xdr:rowOff>9525</xdr:rowOff>
        </xdr:from>
        <xdr:to>
          <xdr:col>23</xdr:col>
          <xdr:colOff>0</xdr:colOff>
          <xdr:row>72</xdr:row>
          <xdr:rowOff>19050</xdr:rowOff>
        </xdr:to>
        <xdr:pic>
          <xdr:nvPicPr>
            <xdr:cNvPr id="1145" name="Picture 19"/>
            <xdr:cNvPicPr>
              <a:picLocks noChangeAspect="1" noChangeArrowheads="1"/>
              <a:extLst>
                <a:ext uri="{84589F7E-364E-4C9E-8A38-B11213B215E9}">
                  <a14:cameraTool cellRange="Flag51" spid="_x0000_s1213"/>
                </a:ext>
              </a:extLst>
            </xdr:cNvPicPr>
          </xdr:nvPicPr>
          <xdr:blipFill>
            <a:blip xmlns:r="http://schemas.openxmlformats.org/officeDocument/2006/relationships" r:embed="rId50"/>
            <a:srcRect/>
            <a:stretch>
              <a:fillRect/>
            </a:stretch>
          </xdr:blipFill>
          <xdr:spPr bwMode="auto">
            <a:xfrm>
              <a:off x="10620375" y="13496925"/>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1343025</xdr:colOff>
          <xdr:row>76</xdr:row>
          <xdr:rowOff>19050</xdr:rowOff>
        </xdr:from>
        <xdr:to>
          <xdr:col>23</xdr:col>
          <xdr:colOff>0</xdr:colOff>
          <xdr:row>77</xdr:row>
          <xdr:rowOff>28575</xdr:rowOff>
        </xdr:to>
        <xdr:pic>
          <xdr:nvPicPr>
            <xdr:cNvPr id="1146" name="Picture 20"/>
            <xdr:cNvPicPr>
              <a:picLocks noChangeAspect="1" noChangeArrowheads="1"/>
              <a:extLst>
                <a:ext uri="{84589F7E-364E-4C9E-8A38-B11213B215E9}">
                  <a14:cameraTool cellRange="Flag53" spid="_x0000_s1214"/>
                </a:ext>
              </a:extLst>
            </xdr:cNvPicPr>
          </xdr:nvPicPr>
          <xdr:blipFill>
            <a:blip xmlns:r="http://schemas.openxmlformats.org/officeDocument/2006/relationships" r:embed="rId50"/>
            <a:srcRect/>
            <a:stretch>
              <a:fillRect/>
            </a:stretch>
          </xdr:blipFill>
          <xdr:spPr bwMode="auto">
            <a:xfrm>
              <a:off x="10620375" y="1445895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1343025</xdr:colOff>
          <xdr:row>81</xdr:row>
          <xdr:rowOff>19050</xdr:rowOff>
        </xdr:from>
        <xdr:to>
          <xdr:col>23</xdr:col>
          <xdr:colOff>0</xdr:colOff>
          <xdr:row>82</xdr:row>
          <xdr:rowOff>28575</xdr:rowOff>
        </xdr:to>
        <xdr:pic>
          <xdr:nvPicPr>
            <xdr:cNvPr id="1147" name="Picture 21"/>
            <xdr:cNvPicPr>
              <a:picLocks noChangeAspect="1" noChangeArrowheads="1"/>
              <a:extLst>
                <a:ext uri="{84589F7E-364E-4C9E-8A38-B11213B215E9}">
                  <a14:cameraTool cellRange="Flag55" spid="_x0000_s1215"/>
                </a:ext>
              </a:extLst>
            </xdr:cNvPicPr>
          </xdr:nvPicPr>
          <xdr:blipFill>
            <a:blip xmlns:r="http://schemas.openxmlformats.org/officeDocument/2006/relationships" r:embed="rId50"/>
            <a:srcRect/>
            <a:stretch>
              <a:fillRect/>
            </a:stretch>
          </xdr:blipFill>
          <xdr:spPr bwMode="auto">
            <a:xfrm>
              <a:off x="10620375" y="1541145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66</xdr:row>
          <xdr:rowOff>9525</xdr:rowOff>
        </xdr:from>
        <xdr:to>
          <xdr:col>27</xdr:col>
          <xdr:colOff>371475</xdr:colOff>
          <xdr:row>67</xdr:row>
          <xdr:rowOff>19050</xdr:rowOff>
        </xdr:to>
        <xdr:pic>
          <xdr:nvPicPr>
            <xdr:cNvPr id="1148" name="Picture 26"/>
            <xdr:cNvPicPr>
              <a:picLocks noChangeAspect="1" noChangeArrowheads="1"/>
              <a:extLst>
                <a:ext uri="{84589F7E-364E-4C9E-8A38-B11213B215E9}">
                  <a14:cameraTool cellRange="Flag50" spid="_x0000_s1216"/>
                </a:ext>
              </a:extLst>
            </xdr:cNvPicPr>
          </xdr:nvPicPr>
          <xdr:blipFill>
            <a:blip xmlns:r="http://schemas.openxmlformats.org/officeDocument/2006/relationships" r:embed="rId50"/>
            <a:srcRect/>
            <a:stretch>
              <a:fillRect/>
            </a:stretch>
          </xdr:blipFill>
          <xdr:spPr bwMode="auto">
            <a:xfrm>
              <a:off x="11563350" y="12544425"/>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71</xdr:row>
          <xdr:rowOff>9525</xdr:rowOff>
        </xdr:from>
        <xdr:to>
          <xdr:col>27</xdr:col>
          <xdr:colOff>371475</xdr:colOff>
          <xdr:row>72</xdr:row>
          <xdr:rowOff>19050</xdr:rowOff>
        </xdr:to>
        <xdr:pic>
          <xdr:nvPicPr>
            <xdr:cNvPr id="1149" name="Picture 27"/>
            <xdr:cNvPicPr>
              <a:picLocks noChangeAspect="1" noChangeArrowheads="1"/>
              <a:extLst>
                <a:ext uri="{84589F7E-364E-4C9E-8A38-B11213B215E9}">
                  <a14:cameraTool cellRange="Flag52" spid="_x0000_s1217"/>
                </a:ext>
              </a:extLst>
            </xdr:cNvPicPr>
          </xdr:nvPicPr>
          <xdr:blipFill>
            <a:blip xmlns:r="http://schemas.openxmlformats.org/officeDocument/2006/relationships" r:embed="rId50"/>
            <a:srcRect/>
            <a:stretch>
              <a:fillRect/>
            </a:stretch>
          </xdr:blipFill>
          <xdr:spPr bwMode="auto">
            <a:xfrm>
              <a:off x="11563350" y="13496925"/>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76</xdr:row>
          <xdr:rowOff>19050</xdr:rowOff>
        </xdr:from>
        <xdr:to>
          <xdr:col>27</xdr:col>
          <xdr:colOff>371475</xdr:colOff>
          <xdr:row>77</xdr:row>
          <xdr:rowOff>28575</xdr:rowOff>
        </xdr:to>
        <xdr:pic>
          <xdr:nvPicPr>
            <xdr:cNvPr id="1150" name="Picture 28"/>
            <xdr:cNvPicPr>
              <a:picLocks noChangeAspect="1" noChangeArrowheads="1"/>
              <a:extLst>
                <a:ext uri="{84589F7E-364E-4C9E-8A38-B11213B215E9}">
                  <a14:cameraTool cellRange="Flag54" spid="_x0000_s1218"/>
                </a:ext>
              </a:extLst>
            </xdr:cNvPicPr>
          </xdr:nvPicPr>
          <xdr:blipFill>
            <a:blip xmlns:r="http://schemas.openxmlformats.org/officeDocument/2006/relationships" r:embed="rId50"/>
            <a:srcRect/>
            <a:stretch>
              <a:fillRect/>
            </a:stretch>
          </xdr:blipFill>
          <xdr:spPr bwMode="auto">
            <a:xfrm>
              <a:off x="11563350" y="14458950"/>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81</xdr:row>
          <xdr:rowOff>19050</xdr:rowOff>
        </xdr:from>
        <xdr:to>
          <xdr:col>27</xdr:col>
          <xdr:colOff>371475</xdr:colOff>
          <xdr:row>82</xdr:row>
          <xdr:rowOff>28575</xdr:rowOff>
        </xdr:to>
        <xdr:pic>
          <xdr:nvPicPr>
            <xdr:cNvPr id="1151" name="Picture 29"/>
            <xdr:cNvPicPr>
              <a:picLocks noChangeAspect="1" noChangeArrowheads="1"/>
              <a:extLst>
                <a:ext uri="{84589F7E-364E-4C9E-8A38-B11213B215E9}">
                  <a14:cameraTool cellRange="Flag56" spid="_x0000_s1219"/>
                </a:ext>
              </a:extLst>
            </xdr:cNvPicPr>
          </xdr:nvPicPr>
          <xdr:blipFill>
            <a:blip xmlns:r="http://schemas.openxmlformats.org/officeDocument/2006/relationships" r:embed="rId50"/>
            <a:srcRect/>
            <a:stretch>
              <a:fillRect/>
            </a:stretch>
          </xdr:blipFill>
          <xdr:spPr bwMode="auto">
            <a:xfrm>
              <a:off x="11563350" y="15411450"/>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1323975</xdr:colOff>
          <xdr:row>89</xdr:row>
          <xdr:rowOff>19050</xdr:rowOff>
        </xdr:from>
        <xdr:to>
          <xdr:col>22</xdr:col>
          <xdr:colOff>95250</xdr:colOff>
          <xdr:row>90</xdr:row>
          <xdr:rowOff>28575</xdr:rowOff>
        </xdr:to>
        <xdr:pic>
          <xdr:nvPicPr>
            <xdr:cNvPr id="1152" name="Picture 30"/>
            <xdr:cNvPicPr>
              <a:picLocks noChangeAspect="1" noChangeArrowheads="1"/>
              <a:extLst>
                <a:ext uri="{84589F7E-364E-4C9E-8A38-B11213B215E9}">
                  <a14:cameraTool cellRange="Flag57" spid="_x0000_s1220"/>
                </a:ext>
              </a:extLst>
            </xdr:cNvPicPr>
          </xdr:nvPicPr>
          <xdr:blipFill>
            <a:blip xmlns:r="http://schemas.openxmlformats.org/officeDocument/2006/relationships" r:embed="rId50"/>
            <a:srcRect/>
            <a:stretch>
              <a:fillRect/>
            </a:stretch>
          </xdr:blipFill>
          <xdr:spPr bwMode="auto">
            <a:xfrm>
              <a:off x="10601325" y="1693545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1323975</xdr:colOff>
          <xdr:row>94</xdr:row>
          <xdr:rowOff>19050</xdr:rowOff>
        </xdr:from>
        <xdr:to>
          <xdr:col>22</xdr:col>
          <xdr:colOff>95250</xdr:colOff>
          <xdr:row>95</xdr:row>
          <xdr:rowOff>28575</xdr:rowOff>
        </xdr:to>
        <xdr:pic>
          <xdr:nvPicPr>
            <xdr:cNvPr id="1153" name="Picture 31"/>
            <xdr:cNvPicPr>
              <a:picLocks noChangeAspect="1" noChangeArrowheads="1"/>
              <a:extLst>
                <a:ext uri="{84589F7E-364E-4C9E-8A38-B11213B215E9}">
                  <a14:cameraTool cellRange="Flag59" spid="_x0000_s1221"/>
                </a:ext>
              </a:extLst>
            </xdr:cNvPicPr>
          </xdr:nvPicPr>
          <xdr:blipFill>
            <a:blip xmlns:r="http://schemas.openxmlformats.org/officeDocument/2006/relationships" r:embed="rId50"/>
            <a:srcRect/>
            <a:stretch>
              <a:fillRect/>
            </a:stretch>
          </xdr:blipFill>
          <xdr:spPr bwMode="auto">
            <a:xfrm>
              <a:off x="10601325" y="1788795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390525</xdr:colOff>
          <xdr:row>89</xdr:row>
          <xdr:rowOff>19050</xdr:rowOff>
        </xdr:from>
        <xdr:to>
          <xdr:col>27</xdr:col>
          <xdr:colOff>361950</xdr:colOff>
          <xdr:row>90</xdr:row>
          <xdr:rowOff>28575</xdr:rowOff>
        </xdr:to>
        <xdr:pic>
          <xdr:nvPicPr>
            <xdr:cNvPr id="1154" name="Picture 32"/>
            <xdr:cNvPicPr>
              <a:picLocks noChangeAspect="1" noChangeArrowheads="1"/>
              <a:extLst>
                <a:ext uri="{84589F7E-364E-4C9E-8A38-B11213B215E9}">
                  <a14:cameraTool cellRange="Flag58" spid="_x0000_s1222"/>
                </a:ext>
              </a:extLst>
            </xdr:cNvPicPr>
          </xdr:nvPicPr>
          <xdr:blipFill>
            <a:blip xmlns:r="http://schemas.openxmlformats.org/officeDocument/2006/relationships" r:embed="rId50"/>
            <a:srcRect/>
            <a:stretch>
              <a:fillRect/>
            </a:stretch>
          </xdr:blipFill>
          <xdr:spPr bwMode="auto">
            <a:xfrm>
              <a:off x="11553825" y="16935450"/>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390525</xdr:colOff>
          <xdr:row>94</xdr:row>
          <xdr:rowOff>19050</xdr:rowOff>
        </xdr:from>
        <xdr:to>
          <xdr:col>27</xdr:col>
          <xdr:colOff>361950</xdr:colOff>
          <xdr:row>95</xdr:row>
          <xdr:rowOff>28575</xdr:rowOff>
        </xdr:to>
        <xdr:pic>
          <xdr:nvPicPr>
            <xdr:cNvPr id="1155" name="Picture 33"/>
            <xdr:cNvPicPr>
              <a:picLocks noChangeAspect="1" noChangeArrowheads="1"/>
              <a:extLst>
                <a:ext uri="{84589F7E-364E-4C9E-8A38-B11213B215E9}">
                  <a14:cameraTool cellRange="Flag60" spid="_x0000_s1223"/>
                </a:ext>
              </a:extLst>
            </xdr:cNvPicPr>
          </xdr:nvPicPr>
          <xdr:blipFill>
            <a:blip xmlns:r="http://schemas.openxmlformats.org/officeDocument/2006/relationships" r:embed="rId50"/>
            <a:srcRect/>
            <a:stretch>
              <a:fillRect/>
            </a:stretch>
          </xdr:blipFill>
          <xdr:spPr bwMode="auto">
            <a:xfrm>
              <a:off x="11553825" y="17887950"/>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1333500</xdr:colOff>
          <xdr:row>102</xdr:row>
          <xdr:rowOff>9525</xdr:rowOff>
        </xdr:from>
        <xdr:to>
          <xdr:col>22</xdr:col>
          <xdr:colOff>104775</xdr:colOff>
          <xdr:row>103</xdr:row>
          <xdr:rowOff>19050</xdr:rowOff>
        </xdr:to>
        <xdr:pic>
          <xdr:nvPicPr>
            <xdr:cNvPr id="1156" name="Picture 34"/>
            <xdr:cNvPicPr>
              <a:picLocks noChangeAspect="1" noChangeArrowheads="1"/>
              <a:extLst>
                <a:ext uri="{84589F7E-364E-4C9E-8A38-B11213B215E9}">
                  <a14:cameraTool cellRange="Flag61" spid="_x0000_s1224"/>
                </a:ext>
              </a:extLst>
            </xdr:cNvPicPr>
          </xdr:nvPicPr>
          <xdr:blipFill>
            <a:blip xmlns:r="http://schemas.openxmlformats.org/officeDocument/2006/relationships" r:embed="rId50"/>
            <a:srcRect/>
            <a:stretch>
              <a:fillRect/>
            </a:stretch>
          </xdr:blipFill>
          <xdr:spPr bwMode="auto">
            <a:xfrm>
              <a:off x="10610850" y="19402425"/>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400050</xdr:colOff>
          <xdr:row>102</xdr:row>
          <xdr:rowOff>9525</xdr:rowOff>
        </xdr:from>
        <xdr:to>
          <xdr:col>27</xdr:col>
          <xdr:colOff>361950</xdr:colOff>
          <xdr:row>103</xdr:row>
          <xdr:rowOff>19050</xdr:rowOff>
        </xdr:to>
        <xdr:pic>
          <xdr:nvPicPr>
            <xdr:cNvPr id="1157" name="Picture 35"/>
            <xdr:cNvPicPr>
              <a:picLocks noChangeAspect="1" noChangeArrowheads="1"/>
              <a:extLst>
                <a:ext uri="{84589F7E-364E-4C9E-8A38-B11213B215E9}">
                  <a14:cameraTool cellRange="Flag62" spid="_x0000_s1225"/>
                </a:ext>
              </a:extLst>
            </xdr:cNvPicPr>
          </xdr:nvPicPr>
          <xdr:blipFill>
            <a:blip xmlns:r="http://schemas.openxmlformats.org/officeDocument/2006/relationships" r:embed="rId50"/>
            <a:srcRect/>
            <a:stretch>
              <a:fillRect/>
            </a:stretch>
          </xdr:blipFill>
          <xdr:spPr bwMode="auto">
            <a:xfrm>
              <a:off x="11553825" y="19402425"/>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1343025</xdr:colOff>
          <xdr:row>110</xdr:row>
          <xdr:rowOff>0</xdr:rowOff>
        </xdr:from>
        <xdr:to>
          <xdr:col>23</xdr:col>
          <xdr:colOff>0</xdr:colOff>
          <xdr:row>111</xdr:row>
          <xdr:rowOff>9525</xdr:rowOff>
        </xdr:to>
        <xdr:pic>
          <xdr:nvPicPr>
            <xdr:cNvPr id="1158" name="Picture 36"/>
            <xdr:cNvPicPr>
              <a:picLocks noChangeAspect="1" noChangeArrowheads="1"/>
              <a:extLst>
                <a:ext uri="{84589F7E-364E-4C9E-8A38-B11213B215E9}">
                  <a14:cameraTool cellRange="Flag63" spid="_x0000_s1226"/>
                </a:ext>
              </a:extLst>
            </xdr:cNvPicPr>
          </xdr:nvPicPr>
          <xdr:blipFill>
            <a:blip xmlns:r="http://schemas.openxmlformats.org/officeDocument/2006/relationships" r:embed="rId50"/>
            <a:srcRect/>
            <a:stretch>
              <a:fillRect/>
            </a:stretch>
          </xdr:blipFill>
          <xdr:spPr bwMode="auto">
            <a:xfrm>
              <a:off x="10620375" y="20916900"/>
              <a:ext cx="12382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109</xdr:row>
          <xdr:rowOff>238125</xdr:rowOff>
        </xdr:from>
        <xdr:to>
          <xdr:col>27</xdr:col>
          <xdr:colOff>371475</xdr:colOff>
          <xdr:row>111</xdr:row>
          <xdr:rowOff>9525</xdr:rowOff>
        </xdr:to>
        <xdr:pic>
          <xdr:nvPicPr>
            <xdr:cNvPr id="1159" name="Picture 37"/>
            <xdr:cNvPicPr>
              <a:picLocks noChangeAspect="1" noChangeArrowheads="1"/>
              <a:extLst>
                <a:ext uri="{84589F7E-364E-4C9E-8A38-B11213B215E9}">
                  <a14:cameraTool cellRange="Flag64" spid="_x0000_s1227"/>
                </a:ext>
              </a:extLst>
            </xdr:cNvPicPr>
          </xdr:nvPicPr>
          <xdr:blipFill>
            <a:blip xmlns:r="http://schemas.openxmlformats.org/officeDocument/2006/relationships" r:embed="rId50"/>
            <a:srcRect/>
            <a:stretch>
              <a:fillRect/>
            </a:stretch>
          </xdr:blipFill>
          <xdr:spPr bwMode="auto">
            <a:xfrm>
              <a:off x="11563350" y="20916900"/>
              <a:ext cx="476250"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117</xdr:row>
          <xdr:rowOff>19050</xdr:rowOff>
        </xdr:from>
        <xdr:to>
          <xdr:col>11</xdr:col>
          <xdr:colOff>190500</xdr:colOff>
          <xdr:row>118</xdr:row>
          <xdr:rowOff>28575</xdr:rowOff>
        </xdr:to>
        <xdr:pic>
          <xdr:nvPicPr>
            <xdr:cNvPr id="1160" name="Picture 38"/>
            <xdr:cNvPicPr>
              <a:picLocks noChangeAspect="1" noChangeArrowheads="1"/>
              <a:extLst>
                <a:ext uri="{84589F7E-364E-4C9E-8A38-B11213B215E9}">
                  <a14:cameraTool cellRange="Flag65" spid="_x0000_s1228"/>
                </a:ext>
              </a:extLst>
            </xdr:cNvPicPr>
          </xdr:nvPicPr>
          <xdr:blipFill>
            <a:blip xmlns:r="http://schemas.openxmlformats.org/officeDocument/2006/relationships" r:embed="rId50"/>
            <a:srcRect/>
            <a:stretch>
              <a:fillRect/>
            </a:stretch>
          </xdr:blipFill>
          <xdr:spPr bwMode="auto">
            <a:xfrm>
              <a:off x="4819650" y="22269450"/>
              <a:ext cx="381000"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6</xdr:row>
      <xdr:rowOff>9525</xdr:rowOff>
    </xdr:from>
    <xdr:to>
      <xdr:col>1</xdr:col>
      <xdr:colOff>316230</xdr:colOff>
      <xdr:row>7</xdr:row>
      <xdr:rowOff>1905</xdr:rowOff>
    </xdr:to>
    <xdr:pic>
      <xdr:nvPicPr>
        <xdr:cNvPr id="26" name="Picture 2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1152525"/>
          <a:ext cx="182880" cy="182880"/>
        </a:xfrm>
        <a:prstGeom prst="rect">
          <a:avLst/>
        </a:prstGeom>
      </xdr:spPr>
    </xdr:pic>
    <xdr:clientData/>
  </xdr:twoCellAnchor>
  <xdr:twoCellAnchor editAs="oneCell">
    <xdr:from>
      <xdr:col>1</xdr:col>
      <xdr:colOff>133350</xdr:colOff>
      <xdr:row>26</xdr:row>
      <xdr:rowOff>10465</xdr:rowOff>
    </xdr:from>
    <xdr:to>
      <xdr:col>1</xdr:col>
      <xdr:colOff>316230</xdr:colOff>
      <xdr:row>27</xdr:row>
      <xdr:rowOff>2845</xdr:rowOff>
    </xdr:to>
    <xdr:pic>
      <xdr:nvPicPr>
        <xdr:cNvPr id="27" name="Picture 2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625" y="4963465"/>
          <a:ext cx="182880" cy="182880"/>
        </a:xfrm>
        <a:prstGeom prst="rect">
          <a:avLst/>
        </a:prstGeom>
      </xdr:spPr>
    </xdr:pic>
    <xdr:clientData/>
  </xdr:twoCellAnchor>
  <xdr:twoCellAnchor editAs="oneCell">
    <xdr:from>
      <xdr:col>1</xdr:col>
      <xdr:colOff>133350</xdr:colOff>
      <xdr:row>12</xdr:row>
      <xdr:rowOff>9807</xdr:rowOff>
    </xdr:from>
    <xdr:to>
      <xdr:col>1</xdr:col>
      <xdr:colOff>316230</xdr:colOff>
      <xdr:row>13</xdr:row>
      <xdr:rowOff>2187</xdr:rowOff>
    </xdr:to>
    <xdr:pic>
      <xdr:nvPicPr>
        <xdr:cNvPr id="28" name="Picture 2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9625" y="2295807"/>
          <a:ext cx="182880" cy="182880"/>
        </a:xfrm>
        <a:prstGeom prst="rect">
          <a:avLst/>
        </a:prstGeom>
      </xdr:spPr>
    </xdr:pic>
    <xdr:clientData/>
  </xdr:twoCellAnchor>
  <xdr:twoCellAnchor editAs="oneCell">
    <xdr:from>
      <xdr:col>1</xdr:col>
      <xdr:colOff>133350</xdr:colOff>
      <xdr:row>14</xdr:row>
      <xdr:rowOff>9901</xdr:rowOff>
    </xdr:from>
    <xdr:to>
      <xdr:col>1</xdr:col>
      <xdr:colOff>316230</xdr:colOff>
      <xdr:row>15</xdr:row>
      <xdr:rowOff>2281</xdr:rowOff>
    </xdr:to>
    <xdr:pic>
      <xdr:nvPicPr>
        <xdr:cNvPr id="29" name="Picture 2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5" y="2676901"/>
          <a:ext cx="182880" cy="182880"/>
        </a:xfrm>
        <a:prstGeom prst="rect">
          <a:avLst/>
        </a:prstGeom>
      </xdr:spPr>
    </xdr:pic>
    <xdr:clientData/>
  </xdr:twoCellAnchor>
  <xdr:twoCellAnchor editAs="oneCell">
    <xdr:from>
      <xdr:col>1</xdr:col>
      <xdr:colOff>133350</xdr:colOff>
      <xdr:row>23</xdr:row>
      <xdr:rowOff>10324</xdr:rowOff>
    </xdr:from>
    <xdr:to>
      <xdr:col>1</xdr:col>
      <xdr:colOff>316230</xdr:colOff>
      <xdr:row>24</xdr:row>
      <xdr:rowOff>2704</xdr:rowOff>
    </xdr:to>
    <xdr:pic>
      <xdr:nvPicPr>
        <xdr:cNvPr id="30" name="Picture 2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9625" y="4391824"/>
          <a:ext cx="182880" cy="182880"/>
        </a:xfrm>
        <a:prstGeom prst="rect">
          <a:avLst/>
        </a:prstGeom>
      </xdr:spPr>
    </xdr:pic>
    <xdr:clientData/>
  </xdr:twoCellAnchor>
  <xdr:twoCellAnchor editAs="oneCell">
    <xdr:from>
      <xdr:col>1</xdr:col>
      <xdr:colOff>133350</xdr:colOff>
      <xdr:row>31</xdr:row>
      <xdr:rowOff>10700</xdr:rowOff>
    </xdr:from>
    <xdr:to>
      <xdr:col>1</xdr:col>
      <xdr:colOff>316230</xdr:colOff>
      <xdr:row>32</xdr:row>
      <xdr:rowOff>3080</xdr:rowOff>
    </xdr:to>
    <xdr:pic>
      <xdr:nvPicPr>
        <xdr:cNvPr id="31" name="Picture 3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9625" y="5916200"/>
          <a:ext cx="182880" cy="182880"/>
        </a:xfrm>
        <a:prstGeom prst="rect">
          <a:avLst/>
        </a:prstGeom>
      </xdr:spPr>
    </xdr:pic>
    <xdr:clientData/>
  </xdr:twoCellAnchor>
  <xdr:twoCellAnchor editAs="oneCell">
    <xdr:from>
      <xdr:col>1</xdr:col>
      <xdr:colOff>133350</xdr:colOff>
      <xdr:row>25</xdr:row>
      <xdr:rowOff>10418</xdr:rowOff>
    </xdr:from>
    <xdr:to>
      <xdr:col>1</xdr:col>
      <xdr:colOff>316230</xdr:colOff>
      <xdr:row>26</xdr:row>
      <xdr:rowOff>2798</xdr:rowOff>
    </xdr:to>
    <xdr:pic>
      <xdr:nvPicPr>
        <xdr:cNvPr id="32" name="Picture 3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4772918"/>
          <a:ext cx="182880" cy="182880"/>
        </a:xfrm>
        <a:prstGeom prst="rect">
          <a:avLst/>
        </a:prstGeom>
      </xdr:spPr>
    </xdr:pic>
    <xdr:clientData/>
  </xdr:twoCellAnchor>
  <xdr:twoCellAnchor editAs="oneCell">
    <xdr:from>
      <xdr:col>1</xdr:col>
      <xdr:colOff>133350</xdr:colOff>
      <xdr:row>19</xdr:row>
      <xdr:rowOff>10136</xdr:rowOff>
    </xdr:from>
    <xdr:to>
      <xdr:col>1</xdr:col>
      <xdr:colOff>316230</xdr:colOff>
      <xdr:row>20</xdr:row>
      <xdr:rowOff>2516</xdr:rowOff>
    </xdr:to>
    <xdr:pic>
      <xdr:nvPicPr>
        <xdr:cNvPr id="33" name="Picture 3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09625" y="3629636"/>
          <a:ext cx="182880" cy="182880"/>
        </a:xfrm>
        <a:prstGeom prst="rect">
          <a:avLst/>
        </a:prstGeom>
      </xdr:spPr>
    </xdr:pic>
    <xdr:clientData/>
  </xdr:twoCellAnchor>
  <xdr:twoCellAnchor editAs="oneCell">
    <xdr:from>
      <xdr:col>1</xdr:col>
      <xdr:colOff>133350</xdr:colOff>
      <xdr:row>13</xdr:row>
      <xdr:rowOff>9854</xdr:rowOff>
    </xdr:from>
    <xdr:to>
      <xdr:col>1</xdr:col>
      <xdr:colOff>316230</xdr:colOff>
      <xdr:row>14</xdr:row>
      <xdr:rowOff>2234</xdr:rowOff>
    </xdr:to>
    <xdr:pic>
      <xdr:nvPicPr>
        <xdr:cNvPr id="34" name="Picture 3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2486354"/>
          <a:ext cx="182880" cy="182880"/>
        </a:xfrm>
        <a:prstGeom prst="rect">
          <a:avLst/>
        </a:prstGeom>
      </xdr:spPr>
    </xdr:pic>
    <xdr:clientData/>
  </xdr:twoCellAnchor>
  <xdr:twoCellAnchor editAs="oneCell">
    <xdr:from>
      <xdr:col>1</xdr:col>
      <xdr:colOff>133350</xdr:colOff>
      <xdr:row>17</xdr:row>
      <xdr:rowOff>10042</xdr:rowOff>
    </xdr:from>
    <xdr:to>
      <xdr:col>1</xdr:col>
      <xdr:colOff>316230</xdr:colOff>
      <xdr:row>18</xdr:row>
      <xdr:rowOff>2422</xdr:rowOff>
    </xdr:to>
    <xdr:pic>
      <xdr:nvPicPr>
        <xdr:cNvPr id="35" name="Picture 3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9625" y="3248542"/>
          <a:ext cx="182880" cy="182880"/>
        </a:xfrm>
        <a:prstGeom prst="rect">
          <a:avLst/>
        </a:prstGeom>
      </xdr:spPr>
    </xdr:pic>
    <xdr:clientData/>
  </xdr:twoCellAnchor>
  <xdr:twoCellAnchor editAs="oneCell">
    <xdr:from>
      <xdr:col>1</xdr:col>
      <xdr:colOff>133350</xdr:colOff>
      <xdr:row>35</xdr:row>
      <xdr:rowOff>10888</xdr:rowOff>
    </xdr:from>
    <xdr:to>
      <xdr:col>1</xdr:col>
      <xdr:colOff>316230</xdr:colOff>
      <xdr:row>36</xdr:row>
      <xdr:rowOff>3268</xdr:rowOff>
    </xdr:to>
    <xdr:pic>
      <xdr:nvPicPr>
        <xdr:cNvPr id="36" name="Picture 3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09625" y="6678388"/>
          <a:ext cx="182880" cy="182880"/>
        </a:xfrm>
        <a:prstGeom prst="rect">
          <a:avLst/>
        </a:prstGeom>
      </xdr:spPr>
    </xdr:pic>
    <xdr:clientData/>
  </xdr:twoCellAnchor>
  <xdr:twoCellAnchor editAs="oneCell">
    <xdr:from>
      <xdr:col>1</xdr:col>
      <xdr:colOff>133350</xdr:colOff>
      <xdr:row>28</xdr:row>
      <xdr:rowOff>10559</xdr:rowOff>
    </xdr:from>
    <xdr:to>
      <xdr:col>1</xdr:col>
      <xdr:colOff>316230</xdr:colOff>
      <xdr:row>29</xdr:row>
      <xdr:rowOff>2939</xdr:rowOff>
    </xdr:to>
    <xdr:pic>
      <xdr:nvPicPr>
        <xdr:cNvPr id="37" name="Picture 3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09625" y="5344559"/>
          <a:ext cx="182880" cy="182880"/>
        </a:xfrm>
        <a:prstGeom prst="rect">
          <a:avLst/>
        </a:prstGeom>
      </xdr:spPr>
    </xdr:pic>
    <xdr:clientData/>
  </xdr:twoCellAnchor>
  <xdr:twoCellAnchor editAs="oneCell">
    <xdr:from>
      <xdr:col>1</xdr:col>
      <xdr:colOff>133350</xdr:colOff>
      <xdr:row>20</xdr:row>
      <xdr:rowOff>10183</xdr:rowOff>
    </xdr:from>
    <xdr:to>
      <xdr:col>1</xdr:col>
      <xdr:colOff>316230</xdr:colOff>
      <xdr:row>21</xdr:row>
      <xdr:rowOff>2563</xdr:rowOff>
    </xdr:to>
    <xdr:pic>
      <xdr:nvPicPr>
        <xdr:cNvPr id="38" name="Picture 3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09625" y="3820183"/>
          <a:ext cx="182880" cy="182880"/>
        </a:xfrm>
        <a:prstGeom prst="rect">
          <a:avLst/>
        </a:prstGeom>
      </xdr:spPr>
    </xdr:pic>
    <xdr:clientData/>
  </xdr:twoCellAnchor>
  <xdr:twoCellAnchor editAs="oneCell">
    <xdr:from>
      <xdr:col>1</xdr:col>
      <xdr:colOff>133350</xdr:colOff>
      <xdr:row>21</xdr:row>
      <xdr:rowOff>10230</xdr:rowOff>
    </xdr:from>
    <xdr:to>
      <xdr:col>1</xdr:col>
      <xdr:colOff>316230</xdr:colOff>
      <xdr:row>22</xdr:row>
      <xdr:rowOff>2610</xdr:rowOff>
    </xdr:to>
    <xdr:pic>
      <xdr:nvPicPr>
        <xdr:cNvPr id="39" name="Picture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9625" y="4010730"/>
          <a:ext cx="182880" cy="182880"/>
        </a:xfrm>
        <a:prstGeom prst="rect">
          <a:avLst/>
        </a:prstGeom>
      </xdr:spPr>
    </xdr:pic>
    <xdr:clientData/>
  </xdr:twoCellAnchor>
  <xdr:twoCellAnchor editAs="oneCell">
    <xdr:from>
      <xdr:col>1</xdr:col>
      <xdr:colOff>133350</xdr:colOff>
      <xdr:row>22</xdr:row>
      <xdr:rowOff>10277</xdr:rowOff>
    </xdr:from>
    <xdr:to>
      <xdr:col>1</xdr:col>
      <xdr:colOff>316230</xdr:colOff>
      <xdr:row>23</xdr:row>
      <xdr:rowOff>2657</xdr:rowOff>
    </xdr:to>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09625" y="4201277"/>
          <a:ext cx="182880" cy="182880"/>
        </a:xfrm>
        <a:prstGeom prst="rect">
          <a:avLst/>
        </a:prstGeom>
      </xdr:spPr>
    </xdr:pic>
    <xdr:clientData/>
  </xdr:twoCellAnchor>
  <xdr:twoCellAnchor editAs="oneCell">
    <xdr:from>
      <xdr:col>1</xdr:col>
      <xdr:colOff>133350</xdr:colOff>
      <xdr:row>10</xdr:row>
      <xdr:rowOff>9713</xdr:rowOff>
    </xdr:from>
    <xdr:to>
      <xdr:col>1</xdr:col>
      <xdr:colOff>316230</xdr:colOff>
      <xdr:row>11</xdr:row>
      <xdr:rowOff>2093</xdr:rowOff>
    </xdr:to>
    <xdr:pic>
      <xdr:nvPicPr>
        <xdr:cNvPr id="41" name="Picture 4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09625" y="1914713"/>
          <a:ext cx="182880" cy="182880"/>
        </a:xfrm>
        <a:prstGeom prst="rect">
          <a:avLst/>
        </a:prstGeom>
      </xdr:spPr>
    </xdr:pic>
    <xdr:clientData/>
  </xdr:twoCellAnchor>
  <xdr:twoCellAnchor editAs="oneCell">
    <xdr:from>
      <xdr:col>1</xdr:col>
      <xdr:colOff>133350</xdr:colOff>
      <xdr:row>11</xdr:row>
      <xdr:rowOff>9760</xdr:rowOff>
    </xdr:from>
    <xdr:to>
      <xdr:col>1</xdr:col>
      <xdr:colOff>316230</xdr:colOff>
      <xdr:row>12</xdr:row>
      <xdr:rowOff>2140</xdr:rowOff>
    </xdr:to>
    <xdr:pic>
      <xdr:nvPicPr>
        <xdr:cNvPr id="42" name="Picture 4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9625" y="2105260"/>
          <a:ext cx="182880" cy="182880"/>
        </a:xfrm>
        <a:prstGeom prst="rect">
          <a:avLst/>
        </a:prstGeom>
      </xdr:spPr>
    </xdr:pic>
    <xdr:clientData/>
  </xdr:twoCellAnchor>
  <xdr:twoCellAnchor editAs="oneCell">
    <xdr:from>
      <xdr:col>1</xdr:col>
      <xdr:colOff>133350</xdr:colOff>
      <xdr:row>32</xdr:row>
      <xdr:rowOff>10747</xdr:rowOff>
    </xdr:from>
    <xdr:to>
      <xdr:col>1</xdr:col>
      <xdr:colOff>316230</xdr:colOff>
      <xdr:row>33</xdr:row>
      <xdr:rowOff>3127</xdr:rowOff>
    </xdr:to>
    <xdr:pic>
      <xdr:nvPicPr>
        <xdr:cNvPr id="43" name="Picture 4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09625" y="6106747"/>
          <a:ext cx="182880" cy="182880"/>
        </a:xfrm>
        <a:prstGeom prst="rect">
          <a:avLst/>
        </a:prstGeom>
      </xdr:spPr>
    </xdr:pic>
    <xdr:clientData/>
  </xdr:twoCellAnchor>
  <xdr:twoCellAnchor editAs="oneCell">
    <xdr:from>
      <xdr:col>1</xdr:col>
      <xdr:colOff>133350</xdr:colOff>
      <xdr:row>36</xdr:row>
      <xdr:rowOff>10935</xdr:rowOff>
    </xdr:from>
    <xdr:to>
      <xdr:col>1</xdr:col>
      <xdr:colOff>316230</xdr:colOff>
      <xdr:row>37</xdr:row>
      <xdr:rowOff>3315</xdr:rowOff>
    </xdr:to>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09625" y="6868935"/>
          <a:ext cx="182880" cy="182880"/>
        </a:xfrm>
        <a:prstGeom prst="rect">
          <a:avLst/>
        </a:prstGeom>
      </xdr:spPr>
    </xdr:pic>
    <xdr:clientData/>
  </xdr:twoCellAnchor>
  <xdr:twoCellAnchor editAs="oneCell">
    <xdr:from>
      <xdr:col>1</xdr:col>
      <xdr:colOff>133350</xdr:colOff>
      <xdr:row>34</xdr:row>
      <xdr:rowOff>10841</xdr:rowOff>
    </xdr:from>
    <xdr:to>
      <xdr:col>1</xdr:col>
      <xdr:colOff>316230</xdr:colOff>
      <xdr:row>35</xdr:row>
      <xdr:rowOff>3221</xdr:rowOff>
    </xdr:to>
    <xdr:pic>
      <xdr:nvPicPr>
        <xdr:cNvPr id="45" name="Picture 4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9625" y="6487841"/>
          <a:ext cx="182880" cy="182880"/>
        </a:xfrm>
        <a:prstGeom prst="rect">
          <a:avLst/>
        </a:prstGeom>
      </xdr:spPr>
    </xdr:pic>
    <xdr:clientData/>
  </xdr:twoCellAnchor>
  <xdr:twoCellAnchor editAs="oneCell">
    <xdr:from>
      <xdr:col>1</xdr:col>
      <xdr:colOff>133350</xdr:colOff>
      <xdr:row>27</xdr:row>
      <xdr:rowOff>10512</xdr:rowOff>
    </xdr:from>
    <xdr:to>
      <xdr:col>1</xdr:col>
      <xdr:colOff>316230</xdr:colOff>
      <xdr:row>28</xdr:row>
      <xdr:rowOff>2892</xdr:rowOff>
    </xdr:to>
    <xdr:pic>
      <xdr:nvPicPr>
        <xdr:cNvPr id="46" name="Picture 4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09625" y="5154012"/>
          <a:ext cx="182880" cy="182880"/>
        </a:xfrm>
        <a:prstGeom prst="rect">
          <a:avLst/>
        </a:prstGeom>
      </xdr:spPr>
    </xdr:pic>
    <xdr:clientData/>
  </xdr:twoCellAnchor>
  <xdr:twoCellAnchor editAs="oneCell">
    <xdr:from>
      <xdr:col>1</xdr:col>
      <xdr:colOff>133350</xdr:colOff>
      <xdr:row>16</xdr:row>
      <xdr:rowOff>9995</xdr:rowOff>
    </xdr:from>
    <xdr:to>
      <xdr:col>1</xdr:col>
      <xdr:colOff>316230</xdr:colOff>
      <xdr:row>17</xdr:row>
      <xdr:rowOff>2375</xdr:rowOff>
    </xdr:to>
    <xdr:pic>
      <xdr:nvPicPr>
        <xdr:cNvPr id="47" name="Picture 4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09625" y="3057995"/>
          <a:ext cx="182880" cy="182880"/>
        </a:xfrm>
        <a:prstGeom prst="rect">
          <a:avLst/>
        </a:prstGeom>
      </xdr:spPr>
    </xdr:pic>
    <xdr:clientData/>
  </xdr:twoCellAnchor>
  <xdr:twoCellAnchor editAs="oneCell">
    <xdr:from>
      <xdr:col>1</xdr:col>
      <xdr:colOff>133350</xdr:colOff>
      <xdr:row>29</xdr:row>
      <xdr:rowOff>10606</xdr:rowOff>
    </xdr:from>
    <xdr:to>
      <xdr:col>1</xdr:col>
      <xdr:colOff>316230</xdr:colOff>
      <xdr:row>30</xdr:row>
      <xdr:rowOff>2986</xdr:rowOff>
    </xdr:to>
    <xdr:pic>
      <xdr:nvPicPr>
        <xdr:cNvPr id="48" name="Picture 4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09625" y="5535106"/>
          <a:ext cx="182880" cy="182880"/>
        </a:xfrm>
        <a:prstGeom prst="rect">
          <a:avLst/>
        </a:prstGeom>
      </xdr:spPr>
    </xdr:pic>
    <xdr:clientData/>
  </xdr:twoCellAnchor>
  <xdr:twoCellAnchor editAs="oneCell">
    <xdr:from>
      <xdr:col>1</xdr:col>
      <xdr:colOff>133350</xdr:colOff>
      <xdr:row>9</xdr:row>
      <xdr:rowOff>9666</xdr:rowOff>
    </xdr:from>
    <xdr:to>
      <xdr:col>1</xdr:col>
      <xdr:colOff>316230</xdr:colOff>
      <xdr:row>10</xdr:row>
      <xdr:rowOff>2046</xdr:rowOff>
    </xdr:to>
    <xdr:pic>
      <xdr:nvPicPr>
        <xdr:cNvPr id="49" name="Picture 4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809625" y="1724166"/>
          <a:ext cx="182880" cy="182880"/>
        </a:xfrm>
        <a:prstGeom prst="rect">
          <a:avLst/>
        </a:prstGeom>
      </xdr:spPr>
    </xdr:pic>
    <xdr:clientData/>
  </xdr:twoCellAnchor>
  <xdr:twoCellAnchor editAs="oneCell">
    <xdr:from>
      <xdr:col>1</xdr:col>
      <xdr:colOff>133350</xdr:colOff>
      <xdr:row>30</xdr:row>
      <xdr:rowOff>10653</xdr:rowOff>
    </xdr:from>
    <xdr:to>
      <xdr:col>1</xdr:col>
      <xdr:colOff>316230</xdr:colOff>
      <xdr:row>31</xdr:row>
      <xdr:rowOff>3033</xdr:rowOff>
    </xdr:to>
    <xdr:pic>
      <xdr:nvPicPr>
        <xdr:cNvPr id="50" name="Picture 4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09625" y="5725653"/>
          <a:ext cx="182880" cy="182880"/>
        </a:xfrm>
        <a:prstGeom prst="rect">
          <a:avLst/>
        </a:prstGeom>
      </xdr:spPr>
    </xdr:pic>
    <xdr:clientData/>
  </xdr:twoCellAnchor>
  <xdr:twoCellAnchor editAs="oneCell">
    <xdr:from>
      <xdr:col>1</xdr:col>
      <xdr:colOff>133350</xdr:colOff>
      <xdr:row>37</xdr:row>
      <xdr:rowOff>10975</xdr:rowOff>
    </xdr:from>
    <xdr:to>
      <xdr:col>1</xdr:col>
      <xdr:colOff>316230</xdr:colOff>
      <xdr:row>38</xdr:row>
      <xdr:rowOff>3355</xdr:rowOff>
    </xdr:to>
    <xdr:pic>
      <xdr:nvPicPr>
        <xdr:cNvPr id="51" name="Picture 5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09625" y="7059475"/>
          <a:ext cx="182880" cy="182880"/>
        </a:xfrm>
        <a:prstGeom prst="rect">
          <a:avLst/>
        </a:prstGeom>
      </xdr:spPr>
    </xdr:pic>
    <xdr:clientData/>
  </xdr:twoCellAnchor>
  <xdr:twoCellAnchor editAs="oneCell">
    <xdr:from>
      <xdr:col>1</xdr:col>
      <xdr:colOff>133350</xdr:colOff>
      <xdr:row>15</xdr:row>
      <xdr:rowOff>9948</xdr:rowOff>
    </xdr:from>
    <xdr:to>
      <xdr:col>1</xdr:col>
      <xdr:colOff>316230</xdr:colOff>
      <xdr:row>16</xdr:row>
      <xdr:rowOff>2328</xdr:rowOff>
    </xdr:to>
    <xdr:pic>
      <xdr:nvPicPr>
        <xdr:cNvPr id="52" name="Picture 5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09625" y="2867448"/>
          <a:ext cx="182880" cy="182880"/>
        </a:xfrm>
        <a:prstGeom prst="rect">
          <a:avLst/>
        </a:prstGeom>
      </xdr:spPr>
    </xdr:pic>
    <xdr:clientData/>
  </xdr:twoCellAnchor>
  <xdr:twoCellAnchor editAs="oneCell">
    <xdr:from>
      <xdr:col>1</xdr:col>
      <xdr:colOff>133350</xdr:colOff>
      <xdr:row>7</xdr:row>
      <xdr:rowOff>9572</xdr:rowOff>
    </xdr:from>
    <xdr:to>
      <xdr:col>1</xdr:col>
      <xdr:colOff>316230</xdr:colOff>
      <xdr:row>8</xdr:row>
      <xdr:rowOff>1952</xdr:rowOff>
    </xdr:to>
    <xdr:pic>
      <xdr:nvPicPr>
        <xdr:cNvPr id="53" name="Picture 5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09625" y="1343072"/>
          <a:ext cx="182880" cy="182880"/>
        </a:xfrm>
        <a:prstGeom prst="rect">
          <a:avLst/>
        </a:prstGeom>
      </xdr:spPr>
    </xdr:pic>
    <xdr:clientData/>
  </xdr:twoCellAnchor>
  <xdr:twoCellAnchor editAs="oneCell">
    <xdr:from>
      <xdr:col>1</xdr:col>
      <xdr:colOff>133350</xdr:colOff>
      <xdr:row>24</xdr:row>
      <xdr:rowOff>10371</xdr:rowOff>
    </xdr:from>
    <xdr:to>
      <xdr:col>1</xdr:col>
      <xdr:colOff>316230</xdr:colOff>
      <xdr:row>25</xdr:row>
      <xdr:rowOff>2751</xdr:rowOff>
    </xdr:to>
    <xdr:pic>
      <xdr:nvPicPr>
        <xdr:cNvPr id="54" name="Picture 53"/>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809625" y="4582371"/>
          <a:ext cx="182880" cy="182880"/>
        </a:xfrm>
        <a:prstGeom prst="rect">
          <a:avLst/>
        </a:prstGeom>
      </xdr:spPr>
    </xdr:pic>
    <xdr:clientData/>
  </xdr:twoCellAnchor>
  <xdr:twoCellAnchor editAs="oneCell">
    <xdr:from>
      <xdr:col>1</xdr:col>
      <xdr:colOff>133350</xdr:colOff>
      <xdr:row>33</xdr:row>
      <xdr:rowOff>10794</xdr:rowOff>
    </xdr:from>
    <xdr:to>
      <xdr:col>1</xdr:col>
      <xdr:colOff>316230</xdr:colOff>
      <xdr:row>34</xdr:row>
      <xdr:rowOff>3174</xdr:rowOff>
    </xdr:to>
    <xdr:pic>
      <xdr:nvPicPr>
        <xdr:cNvPr id="55" name="Picture 5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09625" y="6297294"/>
          <a:ext cx="182880" cy="182880"/>
        </a:xfrm>
        <a:prstGeom prst="rect">
          <a:avLst/>
        </a:prstGeom>
      </xdr:spPr>
    </xdr:pic>
    <xdr:clientData/>
  </xdr:twoCellAnchor>
  <xdr:twoCellAnchor editAs="oneCell">
    <xdr:from>
      <xdr:col>1</xdr:col>
      <xdr:colOff>133350</xdr:colOff>
      <xdr:row>8</xdr:row>
      <xdr:rowOff>9619</xdr:rowOff>
    </xdr:from>
    <xdr:to>
      <xdr:col>1</xdr:col>
      <xdr:colOff>316230</xdr:colOff>
      <xdr:row>9</xdr:row>
      <xdr:rowOff>1999</xdr:rowOff>
    </xdr:to>
    <xdr:pic>
      <xdr:nvPicPr>
        <xdr:cNvPr id="56" name="Picture 5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809625" y="1533619"/>
          <a:ext cx="182880" cy="182880"/>
        </a:xfrm>
        <a:prstGeom prst="rect">
          <a:avLst/>
        </a:prstGeom>
      </xdr:spPr>
    </xdr:pic>
    <xdr:clientData/>
  </xdr:twoCellAnchor>
  <xdr:twoCellAnchor editAs="oneCell">
    <xdr:from>
      <xdr:col>1</xdr:col>
      <xdr:colOff>133350</xdr:colOff>
      <xdr:row>18</xdr:row>
      <xdr:rowOff>10089</xdr:rowOff>
    </xdr:from>
    <xdr:to>
      <xdr:col>1</xdr:col>
      <xdr:colOff>316230</xdr:colOff>
      <xdr:row>19</xdr:row>
      <xdr:rowOff>2469</xdr:rowOff>
    </xdr:to>
    <xdr:pic>
      <xdr:nvPicPr>
        <xdr:cNvPr id="57" name="Picture 5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809625" y="3439089"/>
          <a:ext cx="182880" cy="1828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123825</xdr:colOff>
          <xdr:row>160</xdr:row>
          <xdr:rowOff>9525</xdr:rowOff>
        </xdr:from>
        <xdr:to>
          <xdr:col>21</xdr:col>
          <xdr:colOff>47625</xdr:colOff>
          <xdr:row>161</xdr:row>
          <xdr:rowOff>19050</xdr:rowOff>
        </xdr:to>
        <xdr:pic>
          <xdr:nvPicPr>
            <xdr:cNvPr id="10899" name="Picture 58"/>
            <xdr:cNvPicPr>
              <a:picLocks noChangeAspect="1" noChangeArrowheads="1"/>
              <a:extLst>
                <a:ext uri="{84589F7E-364E-4C9E-8A38-B11213B215E9}">
                  <a14:cameraTool cellRange="Flag1" spid="_x0000_s10963"/>
                </a:ext>
              </a:extLst>
            </xdr:cNvPicPr>
          </xdr:nvPicPr>
          <xdr:blipFill>
            <a:blip xmlns:r="http://schemas.openxmlformats.org/officeDocument/2006/relationships" r:embed="rId33"/>
            <a:srcRect/>
            <a:stretch>
              <a:fillRect/>
            </a:stretch>
          </xdr:blipFill>
          <xdr:spPr bwMode="auto">
            <a:xfrm>
              <a:off x="16259175" y="30489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161</xdr:row>
          <xdr:rowOff>0</xdr:rowOff>
        </xdr:from>
        <xdr:to>
          <xdr:col>21</xdr:col>
          <xdr:colOff>47625</xdr:colOff>
          <xdr:row>162</xdr:row>
          <xdr:rowOff>9525</xdr:rowOff>
        </xdr:to>
        <xdr:pic>
          <xdr:nvPicPr>
            <xdr:cNvPr id="10900" name="Picture 59"/>
            <xdr:cNvPicPr>
              <a:picLocks noChangeAspect="1" noChangeArrowheads="1"/>
              <a:extLst>
                <a:ext uri="{84589F7E-364E-4C9E-8A38-B11213B215E9}">
                  <a14:cameraTool cellRange="Flag2" spid="_x0000_s10964"/>
                </a:ext>
              </a:extLst>
            </xdr:cNvPicPr>
          </xdr:nvPicPr>
          <xdr:blipFill>
            <a:blip xmlns:r="http://schemas.openxmlformats.org/officeDocument/2006/relationships" r:embed="rId34"/>
            <a:srcRect/>
            <a:stretch>
              <a:fillRect/>
            </a:stretch>
          </xdr:blipFill>
          <xdr:spPr bwMode="auto">
            <a:xfrm>
              <a:off x="16259175" y="30670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161</xdr:row>
          <xdr:rowOff>238125</xdr:rowOff>
        </xdr:from>
        <xdr:to>
          <xdr:col>21</xdr:col>
          <xdr:colOff>47625</xdr:colOff>
          <xdr:row>163</xdr:row>
          <xdr:rowOff>9525</xdr:rowOff>
        </xdr:to>
        <xdr:pic>
          <xdr:nvPicPr>
            <xdr:cNvPr id="10901" name="Picture 60"/>
            <xdr:cNvPicPr>
              <a:picLocks noChangeAspect="1" noChangeArrowheads="1"/>
              <a:extLst>
                <a:ext uri="{84589F7E-364E-4C9E-8A38-B11213B215E9}">
                  <a14:cameraTool cellRange="Flag3" spid="_x0000_s10965"/>
                </a:ext>
              </a:extLst>
            </xdr:cNvPicPr>
          </xdr:nvPicPr>
          <xdr:blipFill>
            <a:blip xmlns:r="http://schemas.openxmlformats.org/officeDocument/2006/relationships" r:embed="rId35"/>
            <a:srcRect/>
            <a:stretch>
              <a:fillRect/>
            </a:stretch>
          </xdr:blipFill>
          <xdr:spPr bwMode="auto">
            <a:xfrm>
              <a:off x="16259175" y="308610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162</xdr:row>
          <xdr:rowOff>228600</xdr:rowOff>
        </xdr:from>
        <xdr:to>
          <xdr:col>21</xdr:col>
          <xdr:colOff>47625</xdr:colOff>
          <xdr:row>163</xdr:row>
          <xdr:rowOff>238125</xdr:rowOff>
        </xdr:to>
        <xdr:pic>
          <xdr:nvPicPr>
            <xdr:cNvPr id="10902" name="Picture 61"/>
            <xdr:cNvPicPr>
              <a:picLocks noChangeAspect="1" noChangeArrowheads="1"/>
              <a:extLst>
                <a:ext uri="{84589F7E-364E-4C9E-8A38-B11213B215E9}">
                  <a14:cameraTool cellRange="Flag4" spid="_x0000_s10966"/>
                </a:ext>
              </a:extLst>
            </xdr:cNvPicPr>
          </xdr:nvPicPr>
          <xdr:blipFill>
            <a:blip xmlns:r="http://schemas.openxmlformats.org/officeDocument/2006/relationships" r:embed="rId36"/>
            <a:srcRect/>
            <a:stretch>
              <a:fillRect/>
            </a:stretch>
          </xdr:blipFill>
          <xdr:spPr bwMode="auto">
            <a:xfrm>
              <a:off x="16259175" y="31051500"/>
              <a:ext cx="371475"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172</xdr:row>
          <xdr:rowOff>28575</xdr:rowOff>
        </xdr:from>
        <xdr:to>
          <xdr:col>21</xdr:col>
          <xdr:colOff>47625</xdr:colOff>
          <xdr:row>173</xdr:row>
          <xdr:rowOff>38100</xdr:rowOff>
        </xdr:to>
        <xdr:pic>
          <xdr:nvPicPr>
            <xdr:cNvPr id="10903" name="Picture 62"/>
            <xdr:cNvPicPr>
              <a:picLocks noChangeAspect="1" noChangeArrowheads="1"/>
              <a:extLst>
                <a:ext uri="{84589F7E-364E-4C9E-8A38-B11213B215E9}">
                  <a14:cameraTool cellRange="Flag9" spid="_x0000_s10967"/>
                </a:ext>
              </a:extLst>
            </xdr:cNvPicPr>
          </xdr:nvPicPr>
          <xdr:blipFill>
            <a:blip xmlns:r="http://schemas.openxmlformats.org/officeDocument/2006/relationships" r:embed="rId37"/>
            <a:srcRect/>
            <a:stretch>
              <a:fillRect/>
            </a:stretch>
          </xdr:blipFill>
          <xdr:spPr bwMode="auto">
            <a:xfrm>
              <a:off x="16259175" y="3279457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173</xdr:row>
          <xdr:rowOff>19050</xdr:rowOff>
        </xdr:from>
        <xdr:to>
          <xdr:col>21</xdr:col>
          <xdr:colOff>47625</xdr:colOff>
          <xdr:row>174</xdr:row>
          <xdr:rowOff>28575</xdr:rowOff>
        </xdr:to>
        <xdr:pic>
          <xdr:nvPicPr>
            <xdr:cNvPr id="10904" name="Picture 63"/>
            <xdr:cNvPicPr>
              <a:picLocks noChangeAspect="1" noChangeArrowheads="1"/>
              <a:extLst>
                <a:ext uri="{84589F7E-364E-4C9E-8A38-B11213B215E9}">
                  <a14:cameraTool cellRange="Flag10" spid="_x0000_s10968"/>
                </a:ext>
              </a:extLst>
            </xdr:cNvPicPr>
          </xdr:nvPicPr>
          <xdr:blipFill>
            <a:blip xmlns:r="http://schemas.openxmlformats.org/officeDocument/2006/relationships" r:embed="rId38"/>
            <a:srcRect/>
            <a:stretch>
              <a:fillRect/>
            </a:stretch>
          </xdr:blipFill>
          <xdr:spPr bwMode="auto">
            <a:xfrm>
              <a:off x="16259175" y="3297555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174</xdr:row>
          <xdr:rowOff>9525</xdr:rowOff>
        </xdr:from>
        <xdr:to>
          <xdr:col>21</xdr:col>
          <xdr:colOff>47625</xdr:colOff>
          <xdr:row>175</xdr:row>
          <xdr:rowOff>19050</xdr:rowOff>
        </xdr:to>
        <xdr:pic>
          <xdr:nvPicPr>
            <xdr:cNvPr id="10905" name="Picture 64"/>
            <xdr:cNvPicPr>
              <a:picLocks noChangeAspect="1" noChangeArrowheads="1"/>
              <a:extLst>
                <a:ext uri="{84589F7E-364E-4C9E-8A38-B11213B215E9}">
                  <a14:cameraTool cellRange="Flag11" spid="_x0000_s10969"/>
                </a:ext>
              </a:extLst>
            </xdr:cNvPicPr>
          </xdr:nvPicPr>
          <xdr:blipFill>
            <a:blip xmlns:r="http://schemas.openxmlformats.org/officeDocument/2006/relationships" r:embed="rId39"/>
            <a:srcRect/>
            <a:stretch>
              <a:fillRect/>
            </a:stretch>
          </xdr:blipFill>
          <xdr:spPr bwMode="auto">
            <a:xfrm>
              <a:off x="16259175" y="33156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175</xdr:row>
          <xdr:rowOff>0</xdr:rowOff>
        </xdr:from>
        <xdr:to>
          <xdr:col>21</xdr:col>
          <xdr:colOff>47625</xdr:colOff>
          <xdr:row>176</xdr:row>
          <xdr:rowOff>9525</xdr:rowOff>
        </xdr:to>
        <xdr:pic>
          <xdr:nvPicPr>
            <xdr:cNvPr id="10906" name="Picture 65"/>
            <xdr:cNvPicPr>
              <a:picLocks noChangeAspect="1" noChangeArrowheads="1"/>
              <a:extLst>
                <a:ext uri="{84589F7E-364E-4C9E-8A38-B11213B215E9}">
                  <a14:cameraTool cellRange="Flag12" spid="_x0000_s10970"/>
                </a:ext>
              </a:extLst>
            </xdr:cNvPicPr>
          </xdr:nvPicPr>
          <xdr:blipFill>
            <a:blip xmlns:r="http://schemas.openxmlformats.org/officeDocument/2006/relationships" r:embed="rId40"/>
            <a:srcRect/>
            <a:stretch>
              <a:fillRect/>
            </a:stretch>
          </xdr:blipFill>
          <xdr:spPr bwMode="auto">
            <a:xfrm>
              <a:off x="16259175" y="33337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166</xdr:row>
          <xdr:rowOff>28575</xdr:rowOff>
        </xdr:from>
        <xdr:to>
          <xdr:col>21</xdr:col>
          <xdr:colOff>47625</xdr:colOff>
          <xdr:row>167</xdr:row>
          <xdr:rowOff>38100</xdr:rowOff>
        </xdr:to>
        <xdr:pic>
          <xdr:nvPicPr>
            <xdr:cNvPr id="10907" name="Picture 74"/>
            <xdr:cNvPicPr>
              <a:picLocks noChangeAspect="1" noChangeArrowheads="1"/>
              <a:extLst>
                <a:ext uri="{84589F7E-364E-4C9E-8A38-B11213B215E9}">
                  <a14:cameraTool cellRange="Flag5" spid="_x0000_s10971"/>
                </a:ext>
              </a:extLst>
            </xdr:cNvPicPr>
          </xdr:nvPicPr>
          <xdr:blipFill>
            <a:blip xmlns:r="http://schemas.openxmlformats.org/officeDocument/2006/relationships" r:embed="rId41"/>
            <a:srcRect/>
            <a:stretch>
              <a:fillRect/>
            </a:stretch>
          </xdr:blipFill>
          <xdr:spPr bwMode="auto">
            <a:xfrm>
              <a:off x="16259175" y="3165157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167</xdr:row>
          <xdr:rowOff>19050</xdr:rowOff>
        </xdr:from>
        <xdr:to>
          <xdr:col>21</xdr:col>
          <xdr:colOff>47625</xdr:colOff>
          <xdr:row>168</xdr:row>
          <xdr:rowOff>28575</xdr:rowOff>
        </xdr:to>
        <xdr:pic>
          <xdr:nvPicPr>
            <xdr:cNvPr id="10908" name="Picture 75"/>
            <xdr:cNvPicPr>
              <a:picLocks noChangeAspect="1" noChangeArrowheads="1"/>
              <a:extLst>
                <a:ext uri="{84589F7E-364E-4C9E-8A38-B11213B215E9}">
                  <a14:cameraTool cellRange="Flag6" spid="_x0000_s10972"/>
                </a:ext>
              </a:extLst>
            </xdr:cNvPicPr>
          </xdr:nvPicPr>
          <xdr:blipFill>
            <a:blip xmlns:r="http://schemas.openxmlformats.org/officeDocument/2006/relationships" r:embed="rId42"/>
            <a:srcRect/>
            <a:stretch>
              <a:fillRect/>
            </a:stretch>
          </xdr:blipFill>
          <xdr:spPr bwMode="auto">
            <a:xfrm>
              <a:off x="16259175" y="3183255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168</xdr:row>
          <xdr:rowOff>9525</xdr:rowOff>
        </xdr:from>
        <xdr:to>
          <xdr:col>21</xdr:col>
          <xdr:colOff>47625</xdr:colOff>
          <xdr:row>169</xdr:row>
          <xdr:rowOff>19050</xdr:rowOff>
        </xdr:to>
        <xdr:pic>
          <xdr:nvPicPr>
            <xdr:cNvPr id="10909" name="Picture 76"/>
            <xdr:cNvPicPr>
              <a:picLocks noChangeAspect="1" noChangeArrowheads="1"/>
              <a:extLst>
                <a:ext uri="{84589F7E-364E-4C9E-8A38-B11213B215E9}">
                  <a14:cameraTool cellRange="Flag7" spid="_x0000_s10973"/>
                </a:ext>
              </a:extLst>
            </xdr:cNvPicPr>
          </xdr:nvPicPr>
          <xdr:blipFill>
            <a:blip xmlns:r="http://schemas.openxmlformats.org/officeDocument/2006/relationships" r:embed="rId43"/>
            <a:srcRect/>
            <a:stretch>
              <a:fillRect/>
            </a:stretch>
          </xdr:blipFill>
          <xdr:spPr bwMode="auto">
            <a:xfrm>
              <a:off x="16259175" y="32013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169</xdr:row>
          <xdr:rowOff>0</xdr:rowOff>
        </xdr:from>
        <xdr:to>
          <xdr:col>21</xdr:col>
          <xdr:colOff>47625</xdr:colOff>
          <xdr:row>170</xdr:row>
          <xdr:rowOff>9525</xdr:rowOff>
        </xdr:to>
        <xdr:pic>
          <xdr:nvPicPr>
            <xdr:cNvPr id="10910" name="Picture 77"/>
            <xdr:cNvPicPr>
              <a:picLocks noChangeAspect="1" noChangeArrowheads="1"/>
              <a:extLst>
                <a:ext uri="{84589F7E-364E-4C9E-8A38-B11213B215E9}">
                  <a14:cameraTool cellRange="Flag8" spid="_x0000_s10974"/>
                </a:ext>
              </a:extLst>
            </xdr:cNvPicPr>
          </xdr:nvPicPr>
          <xdr:blipFill>
            <a:blip xmlns:r="http://schemas.openxmlformats.org/officeDocument/2006/relationships" r:embed="rId44"/>
            <a:srcRect/>
            <a:stretch>
              <a:fillRect/>
            </a:stretch>
          </xdr:blipFill>
          <xdr:spPr bwMode="auto">
            <a:xfrm>
              <a:off x="16259175" y="32194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190</xdr:row>
          <xdr:rowOff>9525</xdr:rowOff>
        </xdr:from>
        <xdr:to>
          <xdr:col>21</xdr:col>
          <xdr:colOff>47625</xdr:colOff>
          <xdr:row>191</xdr:row>
          <xdr:rowOff>19050</xdr:rowOff>
        </xdr:to>
        <xdr:pic>
          <xdr:nvPicPr>
            <xdr:cNvPr id="10911" name="Picture 78"/>
            <xdr:cNvPicPr>
              <a:picLocks noChangeAspect="1" noChangeArrowheads="1"/>
              <a:extLst>
                <a:ext uri="{84589F7E-364E-4C9E-8A38-B11213B215E9}">
                  <a14:cameraTool cellRange="Flag21" spid="_x0000_s10975"/>
                </a:ext>
              </a:extLst>
            </xdr:cNvPicPr>
          </xdr:nvPicPr>
          <xdr:blipFill>
            <a:blip xmlns:r="http://schemas.openxmlformats.org/officeDocument/2006/relationships" r:embed="rId45"/>
            <a:srcRect/>
            <a:stretch>
              <a:fillRect/>
            </a:stretch>
          </xdr:blipFill>
          <xdr:spPr bwMode="auto">
            <a:xfrm>
              <a:off x="16259175" y="36204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191</xdr:row>
          <xdr:rowOff>0</xdr:rowOff>
        </xdr:from>
        <xdr:to>
          <xdr:col>21</xdr:col>
          <xdr:colOff>47625</xdr:colOff>
          <xdr:row>192</xdr:row>
          <xdr:rowOff>9525</xdr:rowOff>
        </xdr:to>
        <xdr:pic>
          <xdr:nvPicPr>
            <xdr:cNvPr id="10912" name="Picture 79"/>
            <xdr:cNvPicPr>
              <a:picLocks noChangeAspect="1" noChangeArrowheads="1"/>
              <a:extLst>
                <a:ext uri="{84589F7E-364E-4C9E-8A38-B11213B215E9}">
                  <a14:cameraTool cellRange="Flag22" spid="_x0000_s10976"/>
                </a:ext>
              </a:extLst>
            </xdr:cNvPicPr>
          </xdr:nvPicPr>
          <xdr:blipFill>
            <a:blip xmlns:r="http://schemas.openxmlformats.org/officeDocument/2006/relationships" r:embed="rId46"/>
            <a:srcRect/>
            <a:stretch>
              <a:fillRect/>
            </a:stretch>
          </xdr:blipFill>
          <xdr:spPr bwMode="auto">
            <a:xfrm>
              <a:off x="16259175" y="36385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191</xdr:row>
          <xdr:rowOff>238125</xdr:rowOff>
        </xdr:from>
        <xdr:to>
          <xdr:col>21</xdr:col>
          <xdr:colOff>47625</xdr:colOff>
          <xdr:row>193</xdr:row>
          <xdr:rowOff>9525</xdr:rowOff>
        </xdr:to>
        <xdr:pic>
          <xdr:nvPicPr>
            <xdr:cNvPr id="10913" name="Picture 80"/>
            <xdr:cNvPicPr>
              <a:picLocks noChangeAspect="1" noChangeArrowheads="1"/>
              <a:extLst>
                <a:ext uri="{84589F7E-364E-4C9E-8A38-B11213B215E9}">
                  <a14:cameraTool cellRange="Flag23" spid="_x0000_s10977"/>
                </a:ext>
              </a:extLst>
            </xdr:cNvPicPr>
          </xdr:nvPicPr>
          <xdr:blipFill>
            <a:blip xmlns:r="http://schemas.openxmlformats.org/officeDocument/2006/relationships" r:embed="rId47"/>
            <a:srcRect/>
            <a:stretch>
              <a:fillRect/>
            </a:stretch>
          </xdr:blipFill>
          <xdr:spPr bwMode="auto">
            <a:xfrm>
              <a:off x="16259175" y="365760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192</xdr:row>
          <xdr:rowOff>228600</xdr:rowOff>
        </xdr:from>
        <xdr:to>
          <xdr:col>21</xdr:col>
          <xdr:colOff>47625</xdr:colOff>
          <xdr:row>193</xdr:row>
          <xdr:rowOff>238125</xdr:rowOff>
        </xdr:to>
        <xdr:pic>
          <xdr:nvPicPr>
            <xdr:cNvPr id="10914" name="Picture 81"/>
            <xdr:cNvPicPr>
              <a:picLocks noChangeAspect="1" noChangeArrowheads="1"/>
              <a:extLst>
                <a:ext uri="{84589F7E-364E-4C9E-8A38-B11213B215E9}">
                  <a14:cameraTool cellRange="Flag24" spid="_x0000_s10978"/>
                </a:ext>
              </a:extLst>
            </xdr:cNvPicPr>
          </xdr:nvPicPr>
          <xdr:blipFill>
            <a:blip xmlns:r="http://schemas.openxmlformats.org/officeDocument/2006/relationships" r:embed="rId48"/>
            <a:srcRect/>
            <a:stretch>
              <a:fillRect/>
            </a:stretch>
          </xdr:blipFill>
          <xdr:spPr bwMode="auto">
            <a:xfrm>
              <a:off x="16259175" y="36766500"/>
              <a:ext cx="371475"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184</xdr:row>
          <xdr:rowOff>9525</xdr:rowOff>
        </xdr:from>
        <xdr:to>
          <xdr:col>21</xdr:col>
          <xdr:colOff>47625</xdr:colOff>
          <xdr:row>185</xdr:row>
          <xdr:rowOff>19050</xdr:rowOff>
        </xdr:to>
        <xdr:pic>
          <xdr:nvPicPr>
            <xdr:cNvPr id="10915" name="Picture 82"/>
            <xdr:cNvPicPr>
              <a:picLocks noChangeAspect="1" noChangeArrowheads="1"/>
              <a:extLst>
                <a:ext uri="{84589F7E-364E-4C9E-8A38-B11213B215E9}">
                  <a14:cameraTool cellRange="Flag17" spid="_x0000_s10979"/>
                </a:ext>
              </a:extLst>
            </xdr:cNvPicPr>
          </xdr:nvPicPr>
          <xdr:blipFill>
            <a:blip xmlns:r="http://schemas.openxmlformats.org/officeDocument/2006/relationships" r:embed="rId49"/>
            <a:srcRect/>
            <a:stretch>
              <a:fillRect/>
            </a:stretch>
          </xdr:blipFill>
          <xdr:spPr bwMode="auto">
            <a:xfrm>
              <a:off x="16259175" y="35061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185</xdr:row>
          <xdr:rowOff>0</xdr:rowOff>
        </xdr:from>
        <xdr:to>
          <xdr:col>21</xdr:col>
          <xdr:colOff>47625</xdr:colOff>
          <xdr:row>186</xdr:row>
          <xdr:rowOff>9525</xdr:rowOff>
        </xdr:to>
        <xdr:pic>
          <xdr:nvPicPr>
            <xdr:cNvPr id="10916" name="Picture 83"/>
            <xdr:cNvPicPr>
              <a:picLocks noChangeAspect="1" noChangeArrowheads="1"/>
              <a:extLst>
                <a:ext uri="{84589F7E-364E-4C9E-8A38-B11213B215E9}">
                  <a14:cameraTool cellRange="Flag18" spid="_x0000_s10980"/>
                </a:ext>
              </a:extLst>
            </xdr:cNvPicPr>
          </xdr:nvPicPr>
          <xdr:blipFill>
            <a:blip xmlns:r="http://schemas.openxmlformats.org/officeDocument/2006/relationships" r:embed="rId50"/>
            <a:srcRect/>
            <a:stretch>
              <a:fillRect/>
            </a:stretch>
          </xdr:blipFill>
          <xdr:spPr bwMode="auto">
            <a:xfrm>
              <a:off x="16259175" y="35242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185</xdr:row>
          <xdr:rowOff>238125</xdr:rowOff>
        </xdr:from>
        <xdr:to>
          <xdr:col>21</xdr:col>
          <xdr:colOff>47625</xdr:colOff>
          <xdr:row>187</xdr:row>
          <xdr:rowOff>9525</xdr:rowOff>
        </xdr:to>
        <xdr:pic>
          <xdr:nvPicPr>
            <xdr:cNvPr id="10917" name="Picture 84"/>
            <xdr:cNvPicPr>
              <a:picLocks noChangeAspect="1" noChangeArrowheads="1"/>
              <a:extLst>
                <a:ext uri="{84589F7E-364E-4C9E-8A38-B11213B215E9}">
                  <a14:cameraTool cellRange="Flag19" spid="_x0000_s10981"/>
                </a:ext>
              </a:extLst>
            </xdr:cNvPicPr>
          </xdr:nvPicPr>
          <xdr:blipFill>
            <a:blip xmlns:r="http://schemas.openxmlformats.org/officeDocument/2006/relationships" r:embed="rId51"/>
            <a:srcRect/>
            <a:stretch>
              <a:fillRect/>
            </a:stretch>
          </xdr:blipFill>
          <xdr:spPr bwMode="auto">
            <a:xfrm>
              <a:off x="16259175" y="354330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186</xdr:row>
          <xdr:rowOff>228600</xdr:rowOff>
        </xdr:from>
        <xdr:to>
          <xdr:col>21</xdr:col>
          <xdr:colOff>47625</xdr:colOff>
          <xdr:row>187</xdr:row>
          <xdr:rowOff>238125</xdr:rowOff>
        </xdr:to>
        <xdr:pic>
          <xdr:nvPicPr>
            <xdr:cNvPr id="10918" name="Picture 85"/>
            <xdr:cNvPicPr>
              <a:picLocks noChangeAspect="1" noChangeArrowheads="1"/>
              <a:extLst>
                <a:ext uri="{84589F7E-364E-4C9E-8A38-B11213B215E9}">
                  <a14:cameraTool cellRange="Flag20" spid="_x0000_s10982"/>
                </a:ext>
              </a:extLst>
            </xdr:cNvPicPr>
          </xdr:nvPicPr>
          <xdr:blipFill>
            <a:blip xmlns:r="http://schemas.openxmlformats.org/officeDocument/2006/relationships" r:embed="rId52"/>
            <a:srcRect/>
            <a:stretch>
              <a:fillRect/>
            </a:stretch>
          </xdr:blipFill>
          <xdr:spPr bwMode="auto">
            <a:xfrm>
              <a:off x="16259175" y="35623500"/>
              <a:ext cx="371475"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178</xdr:row>
          <xdr:rowOff>28575</xdr:rowOff>
        </xdr:from>
        <xdr:to>
          <xdr:col>21</xdr:col>
          <xdr:colOff>47625</xdr:colOff>
          <xdr:row>179</xdr:row>
          <xdr:rowOff>38100</xdr:rowOff>
        </xdr:to>
        <xdr:pic>
          <xdr:nvPicPr>
            <xdr:cNvPr id="10919" name="Picture 86"/>
            <xdr:cNvPicPr>
              <a:picLocks noChangeAspect="1" noChangeArrowheads="1"/>
              <a:extLst>
                <a:ext uri="{84589F7E-364E-4C9E-8A38-B11213B215E9}">
                  <a14:cameraTool cellRange="Flag13" spid="_x0000_s10983"/>
                </a:ext>
              </a:extLst>
            </xdr:cNvPicPr>
          </xdr:nvPicPr>
          <xdr:blipFill>
            <a:blip xmlns:r="http://schemas.openxmlformats.org/officeDocument/2006/relationships" r:embed="rId53"/>
            <a:srcRect/>
            <a:stretch>
              <a:fillRect/>
            </a:stretch>
          </xdr:blipFill>
          <xdr:spPr bwMode="auto">
            <a:xfrm>
              <a:off x="16259175" y="3393757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179</xdr:row>
          <xdr:rowOff>19050</xdr:rowOff>
        </xdr:from>
        <xdr:to>
          <xdr:col>21</xdr:col>
          <xdr:colOff>47625</xdr:colOff>
          <xdr:row>180</xdr:row>
          <xdr:rowOff>28575</xdr:rowOff>
        </xdr:to>
        <xdr:pic>
          <xdr:nvPicPr>
            <xdr:cNvPr id="10920" name="Picture 87"/>
            <xdr:cNvPicPr>
              <a:picLocks noChangeAspect="1" noChangeArrowheads="1"/>
              <a:extLst>
                <a:ext uri="{84589F7E-364E-4C9E-8A38-B11213B215E9}">
                  <a14:cameraTool cellRange="Flag14" spid="_x0000_s10984"/>
                </a:ext>
              </a:extLst>
            </xdr:cNvPicPr>
          </xdr:nvPicPr>
          <xdr:blipFill>
            <a:blip xmlns:r="http://schemas.openxmlformats.org/officeDocument/2006/relationships" r:embed="rId54"/>
            <a:srcRect/>
            <a:stretch>
              <a:fillRect/>
            </a:stretch>
          </xdr:blipFill>
          <xdr:spPr bwMode="auto">
            <a:xfrm>
              <a:off x="16259175" y="3411855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180</xdr:row>
          <xdr:rowOff>9525</xdr:rowOff>
        </xdr:from>
        <xdr:to>
          <xdr:col>21</xdr:col>
          <xdr:colOff>47625</xdr:colOff>
          <xdr:row>181</xdr:row>
          <xdr:rowOff>19050</xdr:rowOff>
        </xdr:to>
        <xdr:pic>
          <xdr:nvPicPr>
            <xdr:cNvPr id="10921" name="Picture 88"/>
            <xdr:cNvPicPr>
              <a:picLocks noChangeAspect="1" noChangeArrowheads="1"/>
              <a:extLst>
                <a:ext uri="{84589F7E-364E-4C9E-8A38-B11213B215E9}">
                  <a14:cameraTool cellRange="Flag15" spid="_x0000_s10985"/>
                </a:ext>
              </a:extLst>
            </xdr:cNvPicPr>
          </xdr:nvPicPr>
          <xdr:blipFill>
            <a:blip xmlns:r="http://schemas.openxmlformats.org/officeDocument/2006/relationships" r:embed="rId55"/>
            <a:srcRect/>
            <a:stretch>
              <a:fillRect/>
            </a:stretch>
          </xdr:blipFill>
          <xdr:spPr bwMode="auto">
            <a:xfrm>
              <a:off x="16259175" y="34299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181</xdr:row>
          <xdr:rowOff>0</xdr:rowOff>
        </xdr:from>
        <xdr:to>
          <xdr:col>21</xdr:col>
          <xdr:colOff>47625</xdr:colOff>
          <xdr:row>182</xdr:row>
          <xdr:rowOff>9525</xdr:rowOff>
        </xdr:to>
        <xdr:pic>
          <xdr:nvPicPr>
            <xdr:cNvPr id="10922" name="Picture 89"/>
            <xdr:cNvPicPr>
              <a:picLocks noChangeAspect="1" noChangeArrowheads="1"/>
              <a:extLst>
                <a:ext uri="{84589F7E-364E-4C9E-8A38-B11213B215E9}">
                  <a14:cameraTool cellRange="Flag16" spid="_x0000_s10986"/>
                </a:ext>
              </a:extLst>
            </xdr:cNvPicPr>
          </xdr:nvPicPr>
          <xdr:blipFill>
            <a:blip xmlns:r="http://schemas.openxmlformats.org/officeDocument/2006/relationships" r:embed="rId56"/>
            <a:srcRect/>
            <a:stretch>
              <a:fillRect/>
            </a:stretch>
          </xdr:blipFill>
          <xdr:spPr bwMode="auto">
            <a:xfrm>
              <a:off x="16259175" y="34480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196</xdr:row>
          <xdr:rowOff>28575</xdr:rowOff>
        </xdr:from>
        <xdr:to>
          <xdr:col>21</xdr:col>
          <xdr:colOff>47625</xdr:colOff>
          <xdr:row>197</xdr:row>
          <xdr:rowOff>38100</xdr:rowOff>
        </xdr:to>
        <xdr:pic>
          <xdr:nvPicPr>
            <xdr:cNvPr id="10923" name="Picture 90"/>
            <xdr:cNvPicPr>
              <a:picLocks noChangeAspect="1" noChangeArrowheads="1"/>
              <a:extLst>
                <a:ext uri="{84589F7E-364E-4C9E-8A38-B11213B215E9}">
                  <a14:cameraTool cellRange="Flag25" spid="_x0000_s10987"/>
                </a:ext>
              </a:extLst>
            </xdr:cNvPicPr>
          </xdr:nvPicPr>
          <xdr:blipFill>
            <a:blip xmlns:r="http://schemas.openxmlformats.org/officeDocument/2006/relationships" r:embed="rId57"/>
            <a:srcRect/>
            <a:stretch>
              <a:fillRect/>
            </a:stretch>
          </xdr:blipFill>
          <xdr:spPr bwMode="auto">
            <a:xfrm>
              <a:off x="16259175" y="3736657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197</xdr:row>
          <xdr:rowOff>19050</xdr:rowOff>
        </xdr:from>
        <xdr:to>
          <xdr:col>21</xdr:col>
          <xdr:colOff>47625</xdr:colOff>
          <xdr:row>198</xdr:row>
          <xdr:rowOff>28575</xdr:rowOff>
        </xdr:to>
        <xdr:pic>
          <xdr:nvPicPr>
            <xdr:cNvPr id="10924" name="Picture 91"/>
            <xdr:cNvPicPr>
              <a:picLocks noChangeAspect="1" noChangeArrowheads="1"/>
              <a:extLst>
                <a:ext uri="{84589F7E-364E-4C9E-8A38-B11213B215E9}">
                  <a14:cameraTool cellRange="Flag26" spid="_x0000_s10988"/>
                </a:ext>
              </a:extLst>
            </xdr:cNvPicPr>
          </xdr:nvPicPr>
          <xdr:blipFill>
            <a:blip xmlns:r="http://schemas.openxmlformats.org/officeDocument/2006/relationships" r:embed="rId58"/>
            <a:srcRect/>
            <a:stretch>
              <a:fillRect/>
            </a:stretch>
          </xdr:blipFill>
          <xdr:spPr bwMode="auto">
            <a:xfrm>
              <a:off x="16259175" y="3754755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198</xdr:row>
          <xdr:rowOff>9525</xdr:rowOff>
        </xdr:from>
        <xdr:to>
          <xdr:col>21</xdr:col>
          <xdr:colOff>47625</xdr:colOff>
          <xdr:row>199</xdr:row>
          <xdr:rowOff>19050</xdr:rowOff>
        </xdr:to>
        <xdr:pic>
          <xdr:nvPicPr>
            <xdr:cNvPr id="10925" name="Picture 92"/>
            <xdr:cNvPicPr>
              <a:picLocks noChangeAspect="1" noChangeArrowheads="1"/>
              <a:extLst>
                <a:ext uri="{84589F7E-364E-4C9E-8A38-B11213B215E9}">
                  <a14:cameraTool cellRange="Flag27" spid="_x0000_s10989"/>
                </a:ext>
              </a:extLst>
            </xdr:cNvPicPr>
          </xdr:nvPicPr>
          <xdr:blipFill>
            <a:blip xmlns:r="http://schemas.openxmlformats.org/officeDocument/2006/relationships" r:embed="rId59"/>
            <a:srcRect/>
            <a:stretch>
              <a:fillRect/>
            </a:stretch>
          </xdr:blipFill>
          <xdr:spPr bwMode="auto">
            <a:xfrm>
              <a:off x="16259175" y="37728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199</xdr:row>
          <xdr:rowOff>0</xdr:rowOff>
        </xdr:from>
        <xdr:to>
          <xdr:col>21</xdr:col>
          <xdr:colOff>47625</xdr:colOff>
          <xdr:row>200</xdr:row>
          <xdr:rowOff>9525</xdr:rowOff>
        </xdr:to>
        <xdr:pic>
          <xdr:nvPicPr>
            <xdr:cNvPr id="10926" name="Picture 93"/>
            <xdr:cNvPicPr>
              <a:picLocks noChangeAspect="1" noChangeArrowheads="1"/>
              <a:extLst>
                <a:ext uri="{84589F7E-364E-4C9E-8A38-B11213B215E9}">
                  <a14:cameraTool cellRange="Flag28" spid="_x0000_s10990"/>
                </a:ext>
              </a:extLst>
            </xdr:cNvPicPr>
          </xdr:nvPicPr>
          <xdr:blipFill>
            <a:blip xmlns:r="http://schemas.openxmlformats.org/officeDocument/2006/relationships" r:embed="rId60"/>
            <a:srcRect/>
            <a:stretch>
              <a:fillRect/>
            </a:stretch>
          </xdr:blipFill>
          <xdr:spPr bwMode="auto">
            <a:xfrm>
              <a:off x="16259175" y="37909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202</xdr:row>
          <xdr:rowOff>28575</xdr:rowOff>
        </xdr:from>
        <xdr:to>
          <xdr:col>21</xdr:col>
          <xdr:colOff>47625</xdr:colOff>
          <xdr:row>203</xdr:row>
          <xdr:rowOff>38100</xdr:rowOff>
        </xdr:to>
        <xdr:pic>
          <xdr:nvPicPr>
            <xdr:cNvPr id="10927" name="Picture 94"/>
            <xdr:cNvPicPr>
              <a:picLocks noChangeAspect="1" noChangeArrowheads="1"/>
              <a:extLst>
                <a:ext uri="{84589F7E-364E-4C9E-8A38-B11213B215E9}">
                  <a14:cameraTool cellRange="Flag29" spid="_x0000_s10991"/>
                </a:ext>
              </a:extLst>
            </xdr:cNvPicPr>
          </xdr:nvPicPr>
          <xdr:blipFill>
            <a:blip xmlns:r="http://schemas.openxmlformats.org/officeDocument/2006/relationships" r:embed="rId61"/>
            <a:srcRect/>
            <a:stretch>
              <a:fillRect/>
            </a:stretch>
          </xdr:blipFill>
          <xdr:spPr bwMode="auto">
            <a:xfrm>
              <a:off x="16259175" y="3850957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203</xdr:row>
          <xdr:rowOff>19050</xdr:rowOff>
        </xdr:from>
        <xdr:to>
          <xdr:col>21</xdr:col>
          <xdr:colOff>47625</xdr:colOff>
          <xdr:row>204</xdr:row>
          <xdr:rowOff>28575</xdr:rowOff>
        </xdr:to>
        <xdr:pic>
          <xdr:nvPicPr>
            <xdr:cNvPr id="10928" name="Picture 95"/>
            <xdr:cNvPicPr>
              <a:picLocks noChangeAspect="1" noChangeArrowheads="1"/>
              <a:extLst>
                <a:ext uri="{84589F7E-364E-4C9E-8A38-B11213B215E9}">
                  <a14:cameraTool cellRange="Flag30" spid="_x0000_s10992"/>
                </a:ext>
              </a:extLst>
            </xdr:cNvPicPr>
          </xdr:nvPicPr>
          <xdr:blipFill>
            <a:blip xmlns:r="http://schemas.openxmlformats.org/officeDocument/2006/relationships" r:embed="rId62"/>
            <a:srcRect/>
            <a:stretch>
              <a:fillRect/>
            </a:stretch>
          </xdr:blipFill>
          <xdr:spPr bwMode="auto">
            <a:xfrm>
              <a:off x="16259175" y="3869055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204</xdr:row>
          <xdr:rowOff>9525</xdr:rowOff>
        </xdr:from>
        <xdr:to>
          <xdr:col>21</xdr:col>
          <xdr:colOff>47625</xdr:colOff>
          <xdr:row>205</xdr:row>
          <xdr:rowOff>19050</xdr:rowOff>
        </xdr:to>
        <xdr:pic>
          <xdr:nvPicPr>
            <xdr:cNvPr id="10929" name="Picture 96"/>
            <xdr:cNvPicPr>
              <a:picLocks noChangeAspect="1" noChangeArrowheads="1"/>
              <a:extLst>
                <a:ext uri="{84589F7E-364E-4C9E-8A38-B11213B215E9}">
                  <a14:cameraTool cellRange="Flag31" spid="_x0000_s10993"/>
                </a:ext>
              </a:extLst>
            </xdr:cNvPicPr>
          </xdr:nvPicPr>
          <xdr:blipFill>
            <a:blip xmlns:r="http://schemas.openxmlformats.org/officeDocument/2006/relationships" r:embed="rId63"/>
            <a:srcRect/>
            <a:stretch>
              <a:fillRect/>
            </a:stretch>
          </xdr:blipFill>
          <xdr:spPr bwMode="auto">
            <a:xfrm>
              <a:off x="16259175" y="38871525"/>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205</xdr:row>
          <xdr:rowOff>0</xdr:rowOff>
        </xdr:from>
        <xdr:to>
          <xdr:col>21</xdr:col>
          <xdr:colOff>47625</xdr:colOff>
          <xdr:row>206</xdr:row>
          <xdr:rowOff>9525</xdr:rowOff>
        </xdr:to>
        <xdr:pic>
          <xdr:nvPicPr>
            <xdr:cNvPr id="10930" name="Picture 97"/>
            <xdr:cNvPicPr>
              <a:picLocks noChangeAspect="1" noChangeArrowheads="1"/>
              <a:extLst>
                <a:ext uri="{84589F7E-364E-4C9E-8A38-B11213B215E9}">
                  <a14:cameraTool cellRange="Flag32" spid="_x0000_s10994"/>
                </a:ext>
              </a:extLst>
            </xdr:cNvPicPr>
          </xdr:nvPicPr>
          <xdr:blipFill>
            <a:blip xmlns:r="http://schemas.openxmlformats.org/officeDocument/2006/relationships" r:embed="rId64"/>
            <a:srcRect/>
            <a:stretch>
              <a:fillRect/>
            </a:stretch>
          </xdr:blipFill>
          <xdr:spPr bwMode="auto">
            <a:xfrm>
              <a:off x="16259175" y="39052500"/>
              <a:ext cx="371475"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548640</xdr:colOff>
      <xdr:row>1</xdr:row>
      <xdr:rowOff>121920</xdr:rowOff>
    </xdr:from>
    <xdr:to>
      <xdr:col>15</xdr:col>
      <xdr:colOff>548640</xdr:colOff>
      <xdr:row>75</xdr:row>
      <xdr:rowOff>7620</xdr:rowOff>
    </xdr:to>
    <xdr:sp macro="" textlink="">
      <xdr:nvSpPr>
        <xdr:cNvPr id="2" name="TextBox 1"/>
        <xdr:cNvSpPr txBox="1"/>
      </xdr:nvSpPr>
      <xdr:spPr>
        <a:xfrm>
          <a:off x="548640" y="289560"/>
          <a:ext cx="9144000" cy="1229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SINGLE USER LICENSE AGREEMENT</a:t>
          </a:r>
        </a:p>
        <a:p>
          <a:endParaRPr lang="en-US" sz="1100"/>
        </a:p>
        <a:p>
          <a:r>
            <a:rPr lang="en-US" sz="1100" b="1"/>
            <a:t>IMPORTANT. PLEASE READ THE TERMS AND CONDITIONS OF THIS LICENSE AGREEMENT CAREFULLY BEFORE USING THIS SOFTWARE</a:t>
          </a:r>
        </a:p>
        <a:p>
          <a:r>
            <a:rPr lang="en-US" sz="1100"/>
            <a:t>This is a legal agreement between you (either an individual or a single entity) and EXCELTEMPLATE.NET for the WORLD CUP 2014 SCHEDULE AND SCORESHEET identified above which may include associated software components, media, printed materials, and "online" or electronic documentation ("WORLD CUP 2014 SCHEDULE AND SCORESHEET"). By installing, copying, or otherwise using the WORLD CUP 2014 SCHEDULE AND SCORESHEET, you agree to be bound by the terms of this agreement. This license agreement represents the entire agreement concerning the program between you and EXCELTEMPLATE.NET, (referred to as "licenser"), and it supersedes any prior proposal, representation, or understanding between the parties. If you do not agree to the terms of this agreement, do not install or use the WORLD CUP 2014 SCHEDULE AND SCORESHEET.</a:t>
          </a:r>
        </a:p>
        <a:p>
          <a:endParaRPr lang="en-US" sz="1100"/>
        </a:p>
        <a:p>
          <a:r>
            <a:rPr lang="en-US" sz="1100"/>
            <a:t>The WORLD CUP 2014 SCHEDULE AND SCORESHEET is protected by copyright laws and international copyright treaties, as well as other intellectual property laws and treaties. The WORLD CUP 2014 SCHEDULE AND SCORESHEET is licensed, not sold.</a:t>
          </a:r>
        </a:p>
        <a:p>
          <a:endParaRPr lang="en-US" sz="1100"/>
        </a:p>
        <a:p>
          <a:r>
            <a:rPr lang="en-US" sz="1100" b="1"/>
            <a:t>1. GRANT OF LICENSE TO A SINGLE USER.</a:t>
          </a:r>
        </a:p>
        <a:p>
          <a:r>
            <a:rPr lang="en-US" sz="1100"/>
            <a:t>The WORLD CUP 2014 SCHEDULE AND SCORESHEET is licensed as follows:</a:t>
          </a:r>
        </a:p>
        <a:p>
          <a:r>
            <a:rPr lang="en-US" sz="1100"/>
            <a:t>(a) Installation and Use.</a:t>
          </a:r>
        </a:p>
        <a:p>
          <a:r>
            <a:rPr lang="en-US" sz="1100"/>
            <a:t>EXCELTEMPLATE.NET grants you the right to install and use copies of the WORLD CUP 2014 SCHEDULE AND SCORESHEET on your own computer running validly licensed copies of the office suite [Microsoft Excel 2007, Microsoft Excel 2010, Microsoft Excel 2013) and Windows operating system [Windows NT, Windows 98, Windows 2000, Windows 2003, Windows XP, Windows ME, Windows Vista, Windows 7, Windows 8] for which the WORLD CUP 2014 SCHEDULE AND SCORESHEET was designed.</a:t>
          </a:r>
        </a:p>
        <a:p>
          <a:r>
            <a:rPr lang="en-US" sz="1100"/>
            <a:t>(b) Backup Copies.</a:t>
          </a:r>
        </a:p>
        <a:p>
          <a:r>
            <a:rPr lang="en-US" sz="1100"/>
            <a:t>You may also make copies of the WORLD CUP 2014 SCHEDULE AND SCORESHEET as may be necessary for backup and archival purposes.</a:t>
          </a:r>
        </a:p>
        <a:p>
          <a:endParaRPr lang="en-US" sz="1100"/>
        </a:p>
        <a:p>
          <a:r>
            <a:rPr lang="en-US" sz="1100" b="1"/>
            <a:t>2. DESCRIPTION OF OTHER RIGHTS AND LIMITATIONS.</a:t>
          </a:r>
        </a:p>
        <a:p>
          <a:r>
            <a:rPr lang="en-US" sz="1100"/>
            <a:t>(a) Maintenance of Copyright Notices.</a:t>
          </a:r>
        </a:p>
        <a:p>
          <a:r>
            <a:rPr lang="en-US" sz="1100"/>
            <a:t>You must not remove or alter any copyright notices on any and all copies of the WORLD CUP 2014 SCHEDULE AND SCORESHEET.</a:t>
          </a:r>
        </a:p>
        <a:p>
          <a:r>
            <a:rPr lang="en-US" sz="1100"/>
            <a:t>(b) Distribution.</a:t>
          </a:r>
        </a:p>
        <a:p>
          <a:r>
            <a:rPr lang="en-US" sz="1100"/>
            <a:t>You may not distribute registered copies of the WORLD CUP 2014 SCHEDULE AND SCORESHEET to third parties. The customized version may be used and shared within your company, but it may NOT be sold, distributed, or placed on a public server which could be accessed through internet without permission. Evaluation versions available for download from EXCELTEMPLATE.NET's websites may be freely distributed.</a:t>
          </a:r>
        </a:p>
        <a:p>
          <a:r>
            <a:rPr lang="en-US" sz="1100"/>
            <a:t>(c) Prohibition on Reverse Engineering, Decompilation, and Disassembly.</a:t>
          </a:r>
        </a:p>
        <a:p>
          <a:r>
            <a:rPr lang="en-US" sz="1100"/>
            <a:t>You may not reverse engineer, decompile, or disassemble the WORLD CUP 2014 SCHEDULE AND SCORESHEET, except and only to the extent that such activity is expressly permitted by applicable law notwithstanding this limitation.</a:t>
          </a:r>
        </a:p>
        <a:p>
          <a:r>
            <a:rPr lang="en-US" sz="1100"/>
            <a:t>(d) Rental.</a:t>
          </a:r>
        </a:p>
        <a:p>
          <a:r>
            <a:rPr lang="en-US" sz="1100"/>
            <a:t>You may not rent, lease, or lend the WORLD CUP 2014 SCHEDULE AND SCORESHEET.</a:t>
          </a:r>
        </a:p>
        <a:p>
          <a:r>
            <a:rPr lang="en-US" sz="1100"/>
            <a:t>(e) Support Services.</a:t>
          </a:r>
        </a:p>
        <a:p>
          <a:r>
            <a:rPr lang="en-US" sz="1100"/>
            <a:t>EXCELTEMPLATE.NET may provide you with support services related to the WORLD CUP 2014 SCHEDULE AND SCORESHEET ("Support Services"). Any supplemental software code provided to you as part of the Support Services shall be considered part of the WORLD CUP 2014 SCHEDULE AND SCORESHEET and subject to the terms and conditions of this agreement.</a:t>
          </a:r>
        </a:p>
        <a:p>
          <a:r>
            <a:rPr lang="en-US" sz="1100"/>
            <a:t>(f) Compliance with Applicable Laws.</a:t>
          </a:r>
        </a:p>
        <a:p>
          <a:r>
            <a:rPr lang="en-US" sz="1100"/>
            <a:t>Some countries and their authorities required any third parties to apply for licenses to duplicate their competition/tournament. You must comply with those requirements and all applicable laws regarding use of the WORLD CUP 2014 SCHEDULE AND SCORESHEET.</a:t>
          </a:r>
        </a:p>
        <a:p>
          <a:endParaRPr lang="en-US" sz="1100"/>
        </a:p>
        <a:p>
          <a:r>
            <a:rPr lang="en-US" sz="1100" b="1"/>
            <a:t>3. TERMINATION</a:t>
          </a:r>
        </a:p>
        <a:p>
          <a:r>
            <a:rPr lang="en-US" sz="1100"/>
            <a:t>Without prejudice to any other rights, EXCELTEMPLATE.NET may terminate this agreement if you fail to comply with the terms and conditions of this agreement. In such event, you must destroy all copies of the WORLD CUP 2014 SCHEDULE AND SCORESHEET in your possession.</a:t>
          </a:r>
        </a:p>
        <a:p>
          <a:endParaRPr lang="en-US" sz="1100"/>
        </a:p>
        <a:p>
          <a:r>
            <a:rPr lang="en-US" sz="1100" b="1"/>
            <a:t>4. COPYRIGHT</a:t>
          </a:r>
        </a:p>
        <a:p>
          <a:r>
            <a:rPr lang="en-US" sz="1100"/>
            <a:t>All title, including but not limited to copyrights, in and to the WORLD CUP 2014 SCHEDULE AND SCORESHEET and any copies thereof are owned by EXCELTEMPLATE.NET or its suppliers. All title and intellectual property rights in and to the content which may be accessed through use of the WORLD CUP 2014 SCHEDULE AND SCORESHEET is the property of the respective content owner and may be protected by applicable copyright or other intellectual property laws and treaties. This agreement grants you no rights to use such content. All rights not expressly granted are reserved by EXCELTEMPLATE.NET.</a:t>
          </a:r>
        </a:p>
        <a:p>
          <a:endParaRPr lang="en-US" sz="1100"/>
        </a:p>
        <a:p>
          <a:r>
            <a:rPr lang="en-US" sz="1100" b="1"/>
            <a:t>5. NO WARRANTIES</a:t>
          </a:r>
        </a:p>
        <a:p>
          <a:r>
            <a:rPr lang="en-US" sz="1100"/>
            <a:t>EXCELTEMPLATE.NET expressly disclaims any warranty for the WORLD CUP 2014 SCHEDULE AND SCORESHEET. The WORLD CUP 2014 SCHEDULE AND SCORESHEET is provided 'As Is' without any express or implied warranty of any kind, including but not limited to any warranties of merchantability, noninfringement, or fitness of a particular purpose. EXCELTEMPLATE.NET does not warrant or assume responsibility for the accuracy or completeness of any information, text, graphics, links or other items contained within the WORLD CUP 2014 SCHEDULE AND SCORESHEET. EXCELTEMPLATE.NET makes no warranties respecting any harm that may be caused by the transmission of a computer virus, worm, time bomb, logic bomb, or other such computer program. EXCELTEMPLATE.NET further expressly disclaims any warranty or representation to Authorized Users or to any third party.</a:t>
          </a:r>
        </a:p>
        <a:p>
          <a:endParaRPr lang="en-US" sz="1100"/>
        </a:p>
        <a:p>
          <a:r>
            <a:rPr lang="en-US" sz="1100" b="1"/>
            <a:t>6. LIMITATION OF LIABILITY</a:t>
          </a:r>
        </a:p>
        <a:p>
          <a:r>
            <a:rPr lang="en-US" sz="1100"/>
            <a:t>In no event shall EXCELTEMPLATE.NET be liable for any damages (including, without limitation, lost profits, business interruption, or lost information) rising out of 'Authorized Users' use of or inability to use the WORLD CUP 2014 SCHEDULE AND SCORESHEET, even if EXCELTEMPLATE.NET has been advised of the possibility of such damages. In no event will EXCELTEMPLATE.NET be liable for loss of data or for indirect, special, incidental, consequential (including lost profit), or other damages based in contract, tort or otherwise. EXCELTEMPLATE.NET shall have no liability with respect to the content of the WORLD CUP 2014 SCHEDULE AND SCORESHEET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p>
        <a:p>
          <a:endParaRPr lang="en-US" sz="1100"/>
        </a:p>
        <a:p>
          <a:r>
            <a:rPr lang="en-US" sz="1100"/>
            <a:t>Developers are responsible for the content of their agreement and this should only be used as a guide.</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144780</xdr:colOff>
      <xdr:row>1</xdr:row>
      <xdr:rowOff>45720</xdr:rowOff>
    </xdr:from>
    <xdr:to>
      <xdr:col>38</xdr:col>
      <xdr:colOff>129540</xdr:colOff>
      <xdr:row>11</xdr:row>
      <xdr:rowOff>121920</xdr:rowOff>
    </xdr:to>
    <xdr:sp macro="" textlink="">
      <xdr:nvSpPr>
        <xdr:cNvPr id="2" name="TextBox 1"/>
        <xdr:cNvSpPr txBox="1"/>
      </xdr:nvSpPr>
      <xdr:spPr>
        <a:xfrm>
          <a:off x="3162300" y="236220"/>
          <a:ext cx="652272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World Cup 2014</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Schedule and</a:t>
          </a:r>
          <a:r>
            <a:rPr lang="en-US" sz="1100" b="1" baseline="0">
              <a:solidFill>
                <a:schemeClr val="dk1"/>
              </a:solidFill>
              <a:effectLst/>
              <a:latin typeface="+mn-lt"/>
              <a:ea typeface="+mn-ea"/>
              <a:cs typeface="+mn-cs"/>
            </a:rPr>
            <a:t> Scoresheet</a:t>
          </a:r>
        </a:p>
        <a:p>
          <a:pPr algn="ctr"/>
          <a:r>
            <a:rPr lang="en-US" sz="1100" b="1" baseline="0">
              <a:solidFill>
                <a:schemeClr val="dk1"/>
              </a:solidFill>
              <a:effectLst/>
              <a:latin typeface="+mn-lt"/>
              <a:ea typeface="+mn-ea"/>
              <a:cs typeface="+mn-cs"/>
            </a:rPr>
            <a:t>with National Flag</a:t>
          </a:r>
          <a:endParaRPr lang="en-US">
            <a:effectLst/>
          </a:endParaRPr>
        </a:p>
        <a:p>
          <a:pPr algn="ctr"/>
          <a:r>
            <a:rPr lang="en-US" sz="1100" baseline="0">
              <a:solidFill>
                <a:schemeClr val="dk1"/>
              </a:solidFill>
              <a:effectLst/>
              <a:latin typeface="+mn-lt"/>
              <a:ea typeface="+mn-ea"/>
              <a:cs typeface="+mn-cs"/>
            </a:rPr>
            <a:t>V1.57</a:t>
          </a:r>
        </a:p>
        <a:p>
          <a:pPr algn="ctr"/>
          <a:endParaRPr lang="en-US">
            <a:effectLst/>
          </a:endParaRPr>
        </a:p>
        <a:p>
          <a:pPr algn="ctr"/>
          <a:r>
            <a:rPr lang="en-US" sz="1100" baseline="0">
              <a:solidFill>
                <a:schemeClr val="dk1"/>
              </a:solidFill>
              <a:effectLst/>
              <a:latin typeface="+mn-lt"/>
              <a:ea typeface="+mn-ea"/>
              <a:cs typeface="+mn-cs"/>
            </a:rPr>
            <a:t>License: Free for Personal Usage (read EULA)</a:t>
          </a:r>
          <a:endParaRPr lang="en-US">
            <a:effectLst/>
          </a:endParaRPr>
        </a:p>
        <a:p>
          <a:pPr algn="ctr"/>
          <a:r>
            <a:rPr lang="en-US" sz="1100" baseline="0">
              <a:solidFill>
                <a:schemeClr val="dk1"/>
              </a:solidFill>
              <a:effectLst/>
              <a:latin typeface="+mn-lt"/>
              <a:ea typeface="+mn-ea"/>
              <a:cs typeface="+mn-cs"/>
            </a:rPr>
            <a:t>Copyrights (c) 2014 - Exceltemplate.net</a:t>
          </a:r>
          <a:endParaRPr lang="en-US">
            <a:effectLst/>
          </a:endParaRPr>
        </a:p>
        <a:p>
          <a:pPr algn="ctr"/>
          <a:r>
            <a:rPr lang="en-US" sz="1100" baseline="0">
              <a:solidFill>
                <a:schemeClr val="dk1"/>
              </a:solidFill>
              <a:effectLst/>
              <a:latin typeface="+mn-lt"/>
              <a:ea typeface="+mn-ea"/>
              <a:cs typeface="+mn-cs"/>
            </a:rPr>
            <a:t>All rights reserved</a:t>
          </a:r>
        </a:p>
        <a:p>
          <a:pPr algn="ctr"/>
          <a:endParaRPr lang="en-US">
            <a:effectLst/>
          </a:endParaRPr>
        </a:p>
        <a:p>
          <a:pPr algn="ctr"/>
          <a:r>
            <a:rPr lang="en-US" sz="1100" baseline="0">
              <a:solidFill>
                <a:schemeClr val="dk1"/>
              </a:solidFill>
              <a:effectLst/>
              <a:latin typeface="+mn-lt"/>
              <a:ea typeface="+mn-ea"/>
              <a:cs typeface="+mn-cs"/>
            </a:rPr>
            <a:t>More template information</a:t>
          </a:r>
          <a:endParaRPr lang="en-US">
            <a:effectLst/>
          </a:endParaRPr>
        </a:p>
        <a:p>
          <a:pPr algn="ctr"/>
          <a:r>
            <a:rPr lang="en-US" sz="1100">
              <a:solidFill>
                <a:schemeClr val="dk1"/>
              </a:solidFill>
              <a:effectLst/>
              <a:latin typeface="+mn-lt"/>
              <a:ea typeface="+mn-ea"/>
              <a:cs typeface="+mn-cs"/>
            </a:rPr>
            <a:t>http://exceltemplate.net/sports/world-cup-2014-schedule-and-scoresheet/</a:t>
          </a:r>
          <a:endParaRPr lang="en-US">
            <a:effectLst/>
          </a:endParaRPr>
        </a:p>
        <a:p>
          <a:endParaRPr lang="en-US" sz="1100"/>
        </a:p>
      </xdr:txBody>
    </xdr:sp>
    <xdr:clientData/>
  </xdr:twoCellAnchor>
  <xdr:twoCellAnchor>
    <xdr:from>
      <xdr:col>12</xdr:col>
      <xdr:colOff>144780</xdr:colOff>
      <xdr:row>12</xdr:row>
      <xdr:rowOff>38100</xdr:rowOff>
    </xdr:from>
    <xdr:to>
      <xdr:col>38</xdr:col>
      <xdr:colOff>129540</xdr:colOff>
      <xdr:row>15</xdr:row>
      <xdr:rowOff>152400</xdr:rowOff>
    </xdr:to>
    <xdr:sp macro="" textlink="">
      <xdr:nvSpPr>
        <xdr:cNvPr id="3" name="TextBox 2"/>
        <xdr:cNvSpPr txBox="1"/>
      </xdr:nvSpPr>
      <xdr:spPr>
        <a:xfrm>
          <a:off x="3162300" y="2324100"/>
          <a:ext cx="652272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solidFill>
                <a:schemeClr val="dk1"/>
              </a:solidFill>
              <a:effectLst/>
              <a:latin typeface="+mn-lt"/>
              <a:ea typeface="+mn-ea"/>
              <a:cs typeface="+mn-cs"/>
            </a:rPr>
            <a:t>Below are several of my sport</a:t>
          </a:r>
          <a:r>
            <a:rPr lang="en-US" sz="1100" b="0" baseline="0">
              <a:solidFill>
                <a:schemeClr val="dk1"/>
              </a:solidFill>
              <a:effectLst/>
              <a:latin typeface="+mn-lt"/>
              <a:ea typeface="+mn-ea"/>
              <a:cs typeface="+mn-cs"/>
            </a:rPr>
            <a:t> templates that you might need. You can download or purchase where you can learn the formula, create your own sport competition or modify its layout to meet your own requirement</a:t>
          </a:r>
          <a:endParaRPr lang="en-US" sz="1100"/>
        </a:p>
      </xdr:txBody>
    </xdr:sp>
    <xdr:clientData/>
  </xdr:twoCellAnchor>
  <xdr:oneCellAnchor>
    <xdr:from>
      <xdr:col>20</xdr:col>
      <xdr:colOff>161926</xdr:colOff>
      <xdr:row>38</xdr:row>
      <xdr:rowOff>58197</xdr:rowOff>
    </xdr:from>
    <xdr:ext cx="914400" cy="320040"/>
    <xdr:pic>
      <xdr:nvPicPr>
        <xdr:cNvPr id="9" name="Picture 8">
          <a:hlinkClick xmlns:r="http://schemas.openxmlformats.org/officeDocument/2006/relationships" r:id="rId1"/>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1126" y="9583197"/>
          <a:ext cx="914400" cy="320040"/>
        </a:xfrm>
        <a:prstGeom prst="rect">
          <a:avLst/>
        </a:prstGeom>
      </xdr:spPr>
    </xdr:pic>
    <xdr:clientData/>
  </xdr:oneCellAnchor>
  <xdr:oneCellAnchor>
    <xdr:from>
      <xdr:col>20</xdr:col>
      <xdr:colOff>167640</xdr:colOff>
      <xdr:row>40</xdr:row>
      <xdr:rowOff>45720</xdr:rowOff>
    </xdr:from>
    <xdr:ext cx="914400" cy="320040"/>
    <xdr:pic>
      <xdr:nvPicPr>
        <xdr:cNvPr id="10" name="Picture 9">
          <a:hlinkClick xmlns:r="http://schemas.openxmlformats.org/officeDocument/2006/relationships" r:id="rId3"/>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6840" y="9951720"/>
          <a:ext cx="914400" cy="320040"/>
        </a:xfrm>
        <a:prstGeom prst="rect">
          <a:avLst/>
        </a:prstGeom>
      </xdr:spPr>
    </xdr:pic>
    <xdr:clientData/>
  </xdr:oneCellAnchor>
  <xdr:oneCellAnchor>
    <xdr:from>
      <xdr:col>45</xdr:col>
      <xdr:colOff>198120</xdr:colOff>
      <xdr:row>38</xdr:row>
      <xdr:rowOff>45720</xdr:rowOff>
    </xdr:from>
    <xdr:ext cx="914400" cy="320040"/>
    <xdr:pic>
      <xdr:nvPicPr>
        <xdr:cNvPr id="11" name="Picture 10">
          <a:hlinkClick xmlns:r="http://schemas.openxmlformats.org/officeDocument/2006/relationships" r:id="rId4"/>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3820" y="9570720"/>
          <a:ext cx="914400" cy="320040"/>
        </a:xfrm>
        <a:prstGeom prst="rect">
          <a:avLst/>
        </a:prstGeom>
      </xdr:spPr>
    </xdr:pic>
    <xdr:clientData/>
  </xdr:oneCellAnchor>
  <xdr:oneCellAnchor>
    <xdr:from>
      <xdr:col>20</xdr:col>
      <xdr:colOff>175260</xdr:colOff>
      <xdr:row>51</xdr:row>
      <xdr:rowOff>45719</xdr:rowOff>
    </xdr:from>
    <xdr:ext cx="914400" cy="322252"/>
    <xdr:pic>
      <xdr:nvPicPr>
        <xdr:cNvPr id="12" name="Picture 11">
          <a:hlinkClick xmlns:r="http://schemas.openxmlformats.org/officeDocument/2006/relationships" r:id="rId5"/>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4460" y="13190219"/>
          <a:ext cx="914400" cy="322252"/>
        </a:xfrm>
        <a:prstGeom prst="rect">
          <a:avLst/>
        </a:prstGeom>
      </xdr:spPr>
    </xdr:pic>
    <xdr:clientData/>
  </xdr:oneCellAnchor>
  <xdr:oneCellAnchor>
    <xdr:from>
      <xdr:col>45</xdr:col>
      <xdr:colOff>190500</xdr:colOff>
      <xdr:row>48</xdr:row>
      <xdr:rowOff>45719</xdr:rowOff>
    </xdr:from>
    <xdr:ext cx="914400" cy="322252"/>
    <xdr:pic>
      <xdr:nvPicPr>
        <xdr:cNvPr id="13" name="Picture 12">
          <a:hlinkClick xmlns:r="http://schemas.openxmlformats.org/officeDocument/2006/relationships" r:id="rId6"/>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06200" y="12047219"/>
          <a:ext cx="914400" cy="322252"/>
        </a:xfrm>
        <a:prstGeom prst="rect">
          <a:avLst/>
        </a:prstGeom>
      </xdr:spPr>
    </xdr:pic>
    <xdr:clientData/>
  </xdr:oneCellAnchor>
  <xdr:oneCellAnchor>
    <xdr:from>
      <xdr:col>20</xdr:col>
      <xdr:colOff>190500</xdr:colOff>
      <xdr:row>23</xdr:row>
      <xdr:rowOff>45719</xdr:rowOff>
    </xdr:from>
    <xdr:ext cx="914400" cy="322252"/>
    <xdr:pic>
      <xdr:nvPicPr>
        <xdr:cNvPr id="14" name="Picture 13">
          <a:hlinkClick xmlns:r="http://schemas.openxmlformats.org/officeDocument/2006/relationships" r:id="rId7"/>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4998719"/>
          <a:ext cx="914400" cy="322252"/>
        </a:xfrm>
        <a:prstGeom prst="rect">
          <a:avLst/>
        </a:prstGeom>
      </xdr:spPr>
    </xdr:pic>
    <xdr:clientData/>
  </xdr:oneCellAnchor>
  <xdr:oneCellAnchor>
    <xdr:from>
      <xdr:col>45</xdr:col>
      <xdr:colOff>190500</xdr:colOff>
      <xdr:row>23</xdr:row>
      <xdr:rowOff>45719</xdr:rowOff>
    </xdr:from>
    <xdr:ext cx="914400" cy="322252"/>
    <xdr:pic>
      <xdr:nvPicPr>
        <xdr:cNvPr id="15" name="Picture 14">
          <a:hlinkClick xmlns:r="http://schemas.openxmlformats.org/officeDocument/2006/relationships" r:id="rId8"/>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06200" y="4998719"/>
          <a:ext cx="914400" cy="322252"/>
        </a:xfrm>
        <a:prstGeom prst="rect">
          <a:avLst/>
        </a:prstGeom>
      </xdr:spPr>
    </xdr:pic>
    <xdr:clientData/>
  </xdr:oneCellAnchor>
  <xdr:oneCellAnchor>
    <xdr:from>
      <xdr:col>20</xdr:col>
      <xdr:colOff>190500</xdr:colOff>
      <xdr:row>30</xdr:row>
      <xdr:rowOff>45719</xdr:rowOff>
    </xdr:from>
    <xdr:ext cx="914400" cy="322252"/>
    <xdr:pic>
      <xdr:nvPicPr>
        <xdr:cNvPr id="16" name="Picture 15">
          <a:hlinkClick xmlns:r="http://schemas.openxmlformats.org/officeDocument/2006/relationships" r:id="rId9"/>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7094219"/>
          <a:ext cx="914400" cy="322252"/>
        </a:xfrm>
        <a:prstGeom prst="rect">
          <a:avLst/>
        </a:prstGeom>
      </xdr:spPr>
    </xdr:pic>
    <xdr:clientData/>
  </xdr:oneCellAnchor>
  <xdr:oneCellAnchor>
    <xdr:from>
      <xdr:col>45</xdr:col>
      <xdr:colOff>190500</xdr:colOff>
      <xdr:row>30</xdr:row>
      <xdr:rowOff>45719</xdr:rowOff>
    </xdr:from>
    <xdr:ext cx="914400" cy="322252"/>
    <xdr:pic>
      <xdr:nvPicPr>
        <xdr:cNvPr id="17" name="Picture 16">
          <a:hlinkClick xmlns:r="http://schemas.openxmlformats.org/officeDocument/2006/relationships" r:id="rId10"/>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06200" y="7094219"/>
          <a:ext cx="914400" cy="322252"/>
        </a:xfrm>
        <a:prstGeom prst="rect">
          <a:avLst/>
        </a:prstGeom>
      </xdr:spPr>
    </xdr:pic>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xceltemplate.net/" TargetMode="External"/><Relationship Id="rId2" Type="http://schemas.openxmlformats.org/officeDocument/2006/relationships/hyperlink" Target="http://www.exceltemplate.net/" TargetMode="External"/><Relationship Id="rId1" Type="http://schemas.openxmlformats.org/officeDocument/2006/relationships/hyperlink" Target="http://www.exceltemplate.ne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http://exceltemplate.net/download/118/" TargetMode="External"/><Relationship Id="rId13" Type="http://schemas.openxmlformats.org/officeDocument/2006/relationships/hyperlink" Target="http://exceltemplate.net/download/122/" TargetMode="External"/><Relationship Id="rId3" Type="http://schemas.openxmlformats.org/officeDocument/2006/relationships/hyperlink" Target="http://exceltemplate.net/download/100/" TargetMode="External"/><Relationship Id="rId7" Type="http://schemas.openxmlformats.org/officeDocument/2006/relationships/hyperlink" Target="http://exceltemplate.net/download/117/" TargetMode="External"/><Relationship Id="rId12" Type="http://schemas.openxmlformats.org/officeDocument/2006/relationships/hyperlink" Target="http://exceltemplate.net/download/124/" TargetMode="External"/><Relationship Id="rId2" Type="http://schemas.openxmlformats.org/officeDocument/2006/relationships/hyperlink" Target="http://exceltemplate.net/download/75/" TargetMode="External"/><Relationship Id="rId1" Type="http://schemas.openxmlformats.org/officeDocument/2006/relationships/hyperlink" Target="http://exceltemplate.net/download/74/" TargetMode="External"/><Relationship Id="rId6" Type="http://schemas.openxmlformats.org/officeDocument/2006/relationships/hyperlink" Target="http://exceltemplate.net/download/116/" TargetMode="External"/><Relationship Id="rId11" Type="http://schemas.openxmlformats.org/officeDocument/2006/relationships/hyperlink" Target="http://exceltemplate.net/download/121/" TargetMode="External"/><Relationship Id="rId5" Type="http://schemas.openxmlformats.org/officeDocument/2006/relationships/hyperlink" Target="http://exceltemplate.net/download/120/" TargetMode="External"/><Relationship Id="rId10" Type="http://schemas.openxmlformats.org/officeDocument/2006/relationships/hyperlink" Target="http://exceltemplate.net/download/123/" TargetMode="External"/><Relationship Id="rId4" Type="http://schemas.openxmlformats.org/officeDocument/2006/relationships/hyperlink" Target="http://exceltemplate.net/download/101/" TargetMode="External"/><Relationship Id="rId9" Type="http://schemas.openxmlformats.org/officeDocument/2006/relationships/hyperlink" Target="http://exceltemplate.net/download/119/" TargetMode="External"/><Relationship Id="rId1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C163"/>
  <sheetViews>
    <sheetView showGridLines="0" tabSelected="1" topLeftCell="A46" zoomScaleNormal="100" workbookViewId="0">
      <selection activeCell="J68" sqref="J68"/>
    </sheetView>
  </sheetViews>
  <sheetFormatPr defaultColWidth="0" defaultRowHeight="12.75" zeroHeight="1"/>
  <cols>
    <col min="1" max="3" width="2.42578125" style="6" customWidth="1"/>
    <col min="4" max="5" width="7.5703125" style="6" customWidth="1"/>
    <col min="6" max="6" width="10" style="6" customWidth="1"/>
    <col min="7" max="7" width="10.28515625" style="7" customWidth="1"/>
    <col min="8" max="8" width="20.7109375" style="6" customWidth="1"/>
    <col min="9" max="9" width="4.28515625" style="6" customWidth="1"/>
    <col min="10" max="10" width="4.7109375" style="6" customWidth="1"/>
    <col min="11" max="11" width="2.7109375" style="8" customWidth="1"/>
    <col min="12" max="12" width="4.7109375" style="6" customWidth="1"/>
    <col min="13" max="13" width="4.28515625" style="6" customWidth="1"/>
    <col min="14" max="14" width="20.7109375" style="6" customWidth="1"/>
    <col min="15" max="18" width="2.42578125" style="6" customWidth="1"/>
    <col min="19" max="19" width="4.28515625" style="6" customWidth="1"/>
    <col min="20" max="20" width="10" style="6" customWidth="1"/>
    <col min="21" max="21" width="10.28515625" style="6" customWidth="1"/>
    <col min="22" max="22" width="20.28515625" style="6" customWidth="1"/>
    <col min="23" max="23" width="1.7109375" style="6" customWidth="1"/>
    <col min="24" max="24" width="4.7109375" style="6" customWidth="1"/>
    <col min="25" max="25" width="2.7109375" style="6" customWidth="1"/>
    <col min="26" max="26" width="4.7109375" style="6" customWidth="1"/>
    <col min="27" max="27" width="1.7109375" style="6" customWidth="1"/>
    <col min="28" max="28" width="20.28515625" style="6" customWidth="1"/>
    <col min="29" max="29" width="2.28515625" style="9" customWidth="1"/>
    <col min="30" max="30" width="3.7109375" style="9" customWidth="1"/>
    <col min="31" max="31" width="22.7109375" style="11" customWidth="1"/>
    <col min="32" max="32" width="13.140625" style="8" customWidth="1"/>
    <col min="33" max="33" width="2.28515625" style="6" customWidth="1"/>
    <col min="34" max="103" width="9.140625" style="6" hidden="1" customWidth="1"/>
    <col min="104" max="107" width="9.140625" style="9" hidden="1" customWidth="1"/>
    <col min="108" max="16384" width="9.140625" style="6" hidden="1"/>
  </cols>
  <sheetData>
    <row r="1" spans="2:107">
      <c r="AD1" s="10"/>
      <c r="AF1" s="12"/>
    </row>
    <row r="2" spans="2:107" ht="15" customHeight="1">
      <c r="B2" s="13"/>
      <c r="C2" s="13" t="str">
        <f>INDEX(Language!$A$1:$AX$115,MATCH("Language",Language!$B$1:$B$115,0),MATCH($G$2,Language!$A$1:$AW$1,0))</f>
        <v>Nyelv</v>
      </c>
      <c r="E2" s="8"/>
      <c r="F2" s="8" t="s">
        <v>2208</v>
      </c>
      <c r="G2" s="160" t="s">
        <v>65</v>
      </c>
      <c r="H2" s="160"/>
      <c r="I2" s="160"/>
      <c r="J2" s="160"/>
      <c r="K2" s="160"/>
      <c r="N2" s="158" t="str">
        <f>INDEX(Language!$A$1:$AX$115,MATCH("Visit exceltemplate.net for more templates and updates",Language!$B$1:$B$115,0),MATCH($G$2,Language!$A$1:$AW$1,0))</f>
        <v>Látogassa exceltemplate.net További sablonok és frissítések</v>
      </c>
      <c r="O2" s="158"/>
      <c r="P2" s="158"/>
      <c r="Q2" s="158"/>
      <c r="R2" s="158"/>
      <c r="S2" s="158"/>
      <c r="T2" s="158"/>
      <c r="U2" s="158"/>
      <c r="V2" s="158"/>
      <c r="W2" s="158"/>
      <c r="X2" s="158"/>
      <c r="Y2" s="158"/>
      <c r="Z2" s="158"/>
      <c r="AA2" s="158"/>
      <c r="AB2" s="158"/>
      <c r="AC2" s="158"/>
      <c r="AD2" s="10"/>
      <c r="AF2" s="12"/>
    </row>
    <row r="3" spans="2:107" ht="8.25" customHeight="1">
      <c r="E3" s="8"/>
      <c r="F3" s="8"/>
      <c r="G3" s="6"/>
      <c r="N3" s="158"/>
      <c r="O3" s="158"/>
      <c r="P3" s="158"/>
      <c r="Q3" s="158"/>
      <c r="R3" s="158"/>
      <c r="S3" s="158"/>
      <c r="T3" s="158"/>
      <c r="U3" s="158"/>
      <c r="V3" s="158"/>
      <c r="W3" s="158"/>
      <c r="X3" s="158"/>
      <c r="Y3" s="158"/>
      <c r="Z3" s="158"/>
      <c r="AA3" s="158"/>
      <c r="AB3" s="158"/>
      <c r="AC3" s="158"/>
      <c r="AD3" s="10"/>
      <c r="AF3" s="12"/>
      <c r="DA3" s="10" t="s">
        <v>356</v>
      </c>
    </row>
    <row r="4" spans="2:107" ht="15" customHeight="1">
      <c r="B4" s="13"/>
      <c r="C4" s="13" t="str">
        <f>INDEX(Language!$A$1:$AX$115,MATCH("Timezone",Language!$B$1:$B$115,0),MATCH($G$2,Language!$A$1:$AW$1,0))</f>
        <v>Időzóna</v>
      </c>
      <c r="E4" s="8"/>
      <c r="F4" s="8" t="s">
        <v>2208</v>
      </c>
      <c r="G4" s="161" t="s">
        <v>293</v>
      </c>
      <c r="H4" s="161"/>
      <c r="I4" s="161"/>
      <c r="J4" s="161"/>
      <c r="K4" s="161"/>
      <c r="N4" s="158"/>
      <c r="O4" s="158"/>
      <c r="P4" s="158"/>
      <c r="Q4" s="158"/>
      <c r="R4" s="158"/>
      <c r="S4" s="158"/>
      <c r="T4" s="158"/>
      <c r="U4" s="158"/>
      <c r="V4" s="158"/>
      <c r="W4" s="158"/>
      <c r="X4" s="158"/>
      <c r="Y4" s="158"/>
      <c r="Z4" s="158"/>
      <c r="AA4" s="158"/>
      <c r="AB4" s="158"/>
      <c r="AC4" s="158"/>
    </row>
    <row r="5" spans="2:107"/>
    <row r="6" spans="2:107" s="17" customFormat="1" ht="25.5" customHeight="1">
      <c r="B6" s="159" t="str">
        <f>INDEX(Language!$A$1:$AX$115,MATCH("World Cup 2014 Schedule and Scoresheet",Language!$B$1:$B$115,0),MATCH($G$2,Language!$A$1:$AW$1,0))</f>
        <v>2014-es világbajnokság menetrend és ponttáblázat</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4"/>
      <c r="AE6" s="15"/>
      <c r="AF6" s="16"/>
      <c r="CZ6" s="14"/>
      <c r="DA6" s="14"/>
      <c r="DB6" s="14"/>
      <c r="DC6" s="14"/>
    </row>
    <row r="7" spans="2:107"/>
    <row r="8" spans="2:107" s="17" customFormat="1" ht="15" customHeight="1">
      <c r="B8" s="155" t="str">
        <f>INDEX(Language!$A$1:$AX$115,MATCH("Group Stages",Language!$B$1:$B$115,0),MATCH($G$2,Language!$A$1:$AW$1,0))</f>
        <v>Csoportküzdelmek</v>
      </c>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7"/>
      <c r="AD8" s="18"/>
      <c r="AE8" s="15"/>
      <c r="AF8" s="16"/>
      <c r="CZ8" s="14"/>
      <c r="DA8" s="14"/>
      <c r="DB8" s="14"/>
      <c r="DC8" s="14"/>
    </row>
    <row r="9" spans="2:107" s="17" customFormat="1" ht="15" customHeight="1">
      <c r="B9" s="19"/>
      <c r="C9" s="20"/>
      <c r="D9" s="20"/>
      <c r="E9" s="20"/>
      <c r="F9" s="20"/>
      <c r="G9" s="20"/>
      <c r="H9" s="20"/>
      <c r="I9" s="20"/>
      <c r="J9" s="20"/>
      <c r="K9" s="21"/>
      <c r="L9" s="20"/>
      <c r="M9" s="20"/>
      <c r="N9" s="20"/>
      <c r="O9" s="20"/>
      <c r="P9" s="22"/>
      <c r="Q9" s="20"/>
      <c r="R9" s="20"/>
      <c r="S9" s="20"/>
      <c r="T9" s="20"/>
      <c r="U9" s="20"/>
      <c r="V9" s="20"/>
      <c r="W9" s="20"/>
      <c r="X9" s="20"/>
      <c r="Y9" s="20"/>
      <c r="Z9" s="20"/>
      <c r="AA9" s="20"/>
      <c r="AB9" s="20"/>
      <c r="AC9" s="23"/>
      <c r="AE9" s="15"/>
      <c r="AF9" s="16"/>
      <c r="CZ9" s="14"/>
      <c r="DA9" s="14"/>
      <c r="DB9" s="14"/>
      <c r="DC9" s="14"/>
    </row>
    <row r="10" spans="2:107" s="17" customFormat="1" ht="15" customHeight="1">
      <c r="B10" s="19"/>
      <c r="C10" s="165" t="str">
        <f>INDEX(Language!$A$1:$AX$115,MATCH("Matches",Language!$B$1:$B$115,0),MATCH($G$2,Language!$A$1:$AW$1,0))</f>
        <v>Mérkőzések</v>
      </c>
      <c r="D10" s="166"/>
      <c r="E10" s="166"/>
      <c r="F10" s="166"/>
      <c r="G10" s="166"/>
      <c r="H10" s="166"/>
      <c r="I10" s="166"/>
      <c r="J10" s="166"/>
      <c r="K10" s="166"/>
      <c r="L10" s="166"/>
      <c r="M10" s="166"/>
      <c r="N10" s="166"/>
      <c r="O10" s="167"/>
      <c r="P10" s="24"/>
      <c r="Q10" s="20"/>
      <c r="R10" s="20"/>
      <c r="S10" s="20"/>
      <c r="T10" s="20"/>
      <c r="U10" s="20"/>
      <c r="V10" s="20"/>
      <c r="W10" s="20"/>
      <c r="X10" s="20"/>
      <c r="Y10" s="20"/>
      <c r="Z10" s="20"/>
      <c r="AA10" s="20"/>
      <c r="AB10" s="20"/>
      <c r="AC10" s="23"/>
      <c r="AE10" s="15"/>
      <c r="AF10" s="16"/>
      <c r="CZ10" s="14"/>
      <c r="DA10" s="14"/>
      <c r="DB10" s="14"/>
      <c r="DC10" s="14"/>
    </row>
    <row r="11" spans="2:107" s="17" customFormat="1" ht="15" customHeight="1">
      <c r="B11" s="19"/>
      <c r="C11" s="19"/>
      <c r="D11" s="20"/>
      <c r="E11" s="20"/>
      <c r="F11" s="20"/>
      <c r="G11" s="20"/>
      <c r="H11" s="20"/>
      <c r="I11" s="20"/>
      <c r="J11" s="20"/>
      <c r="K11" s="21"/>
      <c r="L11" s="20"/>
      <c r="M11" s="20"/>
      <c r="N11" s="20"/>
      <c r="O11" s="25"/>
      <c r="P11" s="22"/>
      <c r="Q11" s="20"/>
      <c r="R11" s="20"/>
      <c r="S11" s="20"/>
      <c r="T11" s="20"/>
      <c r="U11" s="20"/>
      <c r="V11" s="20"/>
      <c r="W11" s="20"/>
      <c r="X11" s="20"/>
      <c r="Y11" s="20"/>
      <c r="Z11" s="20"/>
      <c r="AA11" s="20"/>
      <c r="AB11" s="20"/>
      <c r="AC11" s="23"/>
      <c r="AE11" s="15"/>
      <c r="AF11" s="16"/>
      <c r="CZ11" s="14"/>
      <c r="DA11" s="14"/>
      <c r="DB11" s="14"/>
      <c r="DC11" s="14"/>
    </row>
    <row r="12" spans="2:107" s="17" customFormat="1" ht="15" customHeight="1">
      <c r="B12" s="19"/>
      <c r="C12" s="19"/>
      <c r="D12" s="26" t="str">
        <f>INDEX(Language!$A$1:$AX$115,MATCH("Match #",Language!$B$1:$B$115,0),MATCH($G$2,Language!$A$1:$AW$1,0))</f>
        <v># mérkőzés</v>
      </c>
      <c r="E12" s="26" t="str">
        <f>INDEX(Language!$A$1:$AX$115,MATCH("Group",Language!$B$1:$B$115,0),MATCH($G$2,Language!$A$1:$AW$1,0))</f>
        <v>Csoport</v>
      </c>
      <c r="F12" s="26" t="str">
        <f>INDEX(Language!$A$1:$AX$115,MATCH("Date",Language!$B$1:$B$115,0),MATCH($G$2,Language!$A$1:$AW$1,0))</f>
        <v>Dátum</v>
      </c>
      <c r="G12" s="26" t="str">
        <f>INDEX(Language!$A$1:$AX$115,MATCH("Time",Language!$B$1:$B$115,0),MATCH($G$2,Language!$A$1:$AW$1,0))</f>
        <v>Időpont</v>
      </c>
      <c r="H12" s="26" t="str">
        <f>INDEX(Language!$A$1:$AX$115,MATCH("Country",Language!$B$1:$B$115,0),MATCH($G$2,Language!$A$1:$AW$1,0))</f>
        <v>Ország</v>
      </c>
      <c r="I12" s="26"/>
      <c r="J12" s="168" t="str">
        <f>INDEX(Language!$A$1:$AX$115,MATCH("Score",Language!$B$1:$B$115,0),MATCH($G$2,Language!$A$1:$AW$1,0))</f>
        <v>Végeredmény</v>
      </c>
      <c r="K12" s="168"/>
      <c r="L12" s="168"/>
      <c r="M12" s="26"/>
      <c r="N12" s="26" t="str">
        <f>INDEX(Language!$A$1:$AX$115,MATCH("Country",Language!$B$1:$B$115,0),MATCH($G$2,Language!$A$1:$AW$1,0))</f>
        <v>Ország</v>
      </c>
      <c r="O12" s="25"/>
      <c r="P12" s="22"/>
      <c r="Q12" s="20"/>
      <c r="R12" s="20"/>
      <c r="S12" s="20"/>
      <c r="T12" s="20"/>
      <c r="U12" s="20"/>
      <c r="V12" s="20"/>
      <c r="W12" s="20"/>
      <c r="X12" s="20"/>
      <c r="Y12" s="20"/>
      <c r="Z12" s="20"/>
      <c r="AA12" s="20"/>
      <c r="AB12" s="20"/>
      <c r="AC12" s="23"/>
      <c r="AE12" s="27" t="s">
        <v>2199</v>
      </c>
      <c r="AF12" s="28" t="s">
        <v>3322</v>
      </c>
      <c r="CZ12" s="14"/>
      <c r="DA12" s="29"/>
      <c r="DB12" s="30"/>
      <c r="DC12" s="14"/>
    </row>
    <row r="13" spans="2:107" s="17" customFormat="1" ht="15" customHeight="1">
      <c r="B13" s="19"/>
      <c r="C13" s="19"/>
      <c r="D13" s="20"/>
      <c r="E13" s="20"/>
      <c r="F13" s="20"/>
      <c r="G13" s="20"/>
      <c r="H13" s="20"/>
      <c r="I13" s="20"/>
      <c r="J13" s="20"/>
      <c r="K13" s="20"/>
      <c r="L13" s="20"/>
      <c r="M13" s="20"/>
      <c r="N13" s="20"/>
      <c r="O13" s="25"/>
      <c r="P13" s="22"/>
      <c r="Q13" s="20"/>
      <c r="R13" s="20"/>
      <c r="S13" s="20"/>
      <c r="T13" s="20"/>
      <c r="U13" s="20"/>
      <c r="V13" s="20"/>
      <c r="W13" s="20"/>
      <c r="X13" s="20"/>
      <c r="Y13" s="20"/>
      <c r="Z13" s="20"/>
      <c r="AA13" s="20"/>
      <c r="AB13" s="20"/>
      <c r="AC13" s="23"/>
      <c r="AE13" s="27" t="str">
        <f>IF(SUM('Dummy Table'!AM$4:AM$7)&gt;0,IF(ISNA(VLOOKUP(1,'Dummy Table'!AM$4:AN$7,2,FALSE)),"",VLOOKUP(1,'Dummy Table'!AM$4:AN$7,2,FALSE)),"")</f>
        <v/>
      </c>
      <c r="AF13" s="28"/>
      <c r="CZ13" s="14"/>
      <c r="DA13" s="29"/>
      <c r="DB13" s="30"/>
      <c r="DC13" s="14"/>
    </row>
    <row r="14" spans="2:107" s="17" customFormat="1" ht="15" customHeight="1">
      <c r="B14" s="19"/>
      <c r="C14" s="19"/>
      <c r="D14" s="21">
        <v>1</v>
      </c>
      <c r="E14" s="21" t="s">
        <v>2198</v>
      </c>
      <c r="F14" s="31">
        <f>G14</f>
        <v>41802.875</v>
      </c>
      <c r="G14" s="32">
        <f>'Countries and Timezone'!R2</f>
        <v>41802.875</v>
      </c>
      <c r="H14" s="33" t="str">
        <f>INDEX(Language!$A$1:$AX$115,MATCH('Countries and Timezone'!$AG$7,Language!$B$1:$B$115,0),MATCH($G$2,Language!$A$1:$AW$1,0))</f>
        <v>Brazília</v>
      </c>
      <c r="I14" s="20"/>
      <c r="J14" s="34">
        <v>3</v>
      </c>
      <c r="K14" s="35" t="s">
        <v>2180</v>
      </c>
      <c r="L14" s="34">
        <v>1</v>
      </c>
      <c r="M14" s="20"/>
      <c r="N14" s="20" t="str">
        <f>INDEX(Language!$A$1:$AX$115,MATCH('Countries and Timezone'!$AG$8,Language!$B$1:$B$115,0),MATCH($G$2,Language!$A$1:$AW$1,0))</f>
        <v>Horvátország</v>
      </c>
      <c r="O14" s="25"/>
      <c r="P14" s="22"/>
      <c r="Q14" s="20"/>
      <c r="R14" s="20"/>
      <c r="S14" s="20"/>
      <c r="T14" s="20"/>
      <c r="U14" s="20"/>
      <c r="V14" s="20"/>
      <c r="W14" s="20"/>
      <c r="X14" s="20"/>
      <c r="Y14" s="20"/>
      <c r="Z14" s="20"/>
      <c r="AA14" s="20"/>
      <c r="AB14" s="20"/>
      <c r="AC14" s="23"/>
      <c r="AE14" s="27" t="str">
        <f>IF(SUM('Dummy Table'!AM$4:AM$7)&gt;0,IF(ISNA(VLOOKUP(2,'Dummy Table'!AM$4:AN$7,2,FALSE)),"",VLOOKUP(2,'Dummy Table'!AM$4:AN$7,2,FALSE)),"")</f>
        <v/>
      </c>
      <c r="AF14" s="28"/>
      <c r="CZ14" s="14"/>
      <c r="DA14" s="29"/>
      <c r="DB14" s="30"/>
      <c r="DC14" s="14"/>
    </row>
    <row r="15" spans="2:107" s="17" customFormat="1" ht="15" customHeight="1">
      <c r="B15" s="19"/>
      <c r="C15" s="19"/>
      <c r="D15" s="21">
        <v>2</v>
      </c>
      <c r="E15" s="21" t="s">
        <v>2198</v>
      </c>
      <c r="F15" s="31">
        <f t="shared" ref="F15:F61" si="0">G15</f>
        <v>41803.708333333328</v>
      </c>
      <c r="G15" s="32">
        <f>'Countries and Timezone'!R3</f>
        <v>41803.708333333328</v>
      </c>
      <c r="H15" s="33" t="str">
        <f>INDEX(Language!$A$1:$AX$115,MATCH('Countries and Timezone'!$AG$9,Language!$B$1:$B$115,0),MATCH($G$2,Language!$A$1:$AW$1,0))</f>
        <v>Mexikó</v>
      </c>
      <c r="I15" s="20"/>
      <c r="J15" s="34">
        <v>1</v>
      </c>
      <c r="K15" s="35" t="s">
        <v>2180</v>
      </c>
      <c r="L15" s="34">
        <v>0</v>
      </c>
      <c r="M15" s="20"/>
      <c r="N15" s="20" t="str">
        <f>INDEX(Language!$A$1:$AX$115,MATCH('Countries and Timezone'!$AG$10,Language!$B$1:$B$115,0),MATCH($G$2,Language!$A$1:$AW$1,0))</f>
        <v>Kamerun</v>
      </c>
      <c r="O15" s="25"/>
      <c r="P15" s="22"/>
      <c r="Q15" s="20"/>
      <c r="R15" s="20"/>
      <c r="S15" s="20"/>
      <c r="T15" s="20"/>
      <c r="U15" s="20"/>
      <c r="V15" s="20"/>
      <c r="W15" s="20"/>
      <c r="X15" s="20"/>
      <c r="Y15" s="20"/>
      <c r="Z15" s="20"/>
      <c r="AA15" s="20"/>
      <c r="AB15" s="20"/>
      <c r="AC15" s="23"/>
      <c r="AE15" s="27" t="str">
        <f>IF(SUM('Dummy Table'!AM$4:AM$7)&gt;0,IF(ISNA(VLOOKUP(3,'Dummy Table'!AM$4:AN$7,2,FALSE)),"",VLOOKUP(3,'Dummy Table'!AM$4:AN$7,2,FALSE)),"")</f>
        <v/>
      </c>
      <c r="AF15" s="28"/>
      <c r="CZ15" s="14"/>
      <c r="DA15" s="29"/>
      <c r="DB15" s="30"/>
      <c r="DC15" s="14"/>
    </row>
    <row r="16" spans="2:107" s="17" customFormat="1" ht="15" customHeight="1">
      <c r="B16" s="19"/>
      <c r="C16" s="19"/>
      <c r="D16" s="21">
        <v>3</v>
      </c>
      <c r="E16" s="21" t="s">
        <v>382</v>
      </c>
      <c r="F16" s="31">
        <f t="shared" si="0"/>
        <v>41803.833333333328</v>
      </c>
      <c r="G16" s="32">
        <f>'Countries and Timezone'!R4</f>
        <v>41803.833333333328</v>
      </c>
      <c r="H16" s="33" t="str">
        <f>INDEX(Language!$A$1:$AX$115,MATCH('Countries and Timezone'!$AG$11,Language!$B$1:$B$115,0),MATCH($G$2,Language!$A$1:$AW$1,0))</f>
        <v>Spanyolország</v>
      </c>
      <c r="I16" s="20"/>
      <c r="J16" s="34">
        <v>1</v>
      </c>
      <c r="K16" s="35" t="s">
        <v>2180</v>
      </c>
      <c r="L16" s="34">
        <v>5</v>
      </c>
      <c r="M16" s="20"/>
      <c r="N16" s="20" t="str">
        <f>INDEX(Language!$A$1:$AX$115,MATCH('Countries and Timezone'!$AG$12,Language!$B$1:$B$115,0),MATCH($G$2,Language!$A$1:$AW$1,0))</f>
        <v>Hollandia</v>
      </c>
      <c r="O16" s="25"/>
      <c r="P16" s="22"/>
      <c r="Q16" s="20"/>
      <c r="R16" s="20"/>
      <c r="S16" s="20"/>
      <c r="T16" s="20"/>
      <c r="U16" s="20"/>
      <c r="V16" s="20"/>
      <c r="W16" s="20"/>
      <c r="X16" s="20"/>
      <c r="Y16" s="20"/>
      <c r="Z16" s="20"/>
      <c r="AA16" s="20"/>
      <c r="AB16" s="20"/>
      <c r="AC16" s="23"/>
      <c r="AE16" s="27" t="str">
        <f>IF(SUM('Dummy Table'!AM$4:AM$7)&gt;0,IF(ISNA(VLOOKUP(4,'Dummy Table'!AM$4:AN$7,2,FALSE)),"",VLOOKUP(4,'Dummy Table'!AM$4:AN$7,2,FALSE)),"")</f>
        <v/>
      </c>
      <c r="AF16" s="28"/>
      <c r="CZ16" s="14"/>
      <c r="DA16" s="29"/>
      <c r="DB16" s="30"/>
      <c r="DC16" s="14"/>
    </row>
    <row r="17" spans="2:107" s="17" customFormat="1" ht="15" customHeight="1">
      <c r="B17" s="19"/>
      <c r="C17" s="19"/>
      <c r="D17" s="21">
        <v>4</v>
      </c>
      <c r="E17" s="21" t="s">
        <v>382</v>
      </c>
      <c r="F17" s="31">
        <f t="shared" si="0"/>
        <v>41803.958333333328</v>
      </c>
      <c r="G17" s="32">
        <f>'Countries and Timezone'!R5</f>
        <v>41803.958333333328</v>
      </c>
      <c r="H17" s="33" t="str">
        <f>INDEX(Language!$A$1:$AX$115,MATCH('Countries and Timezone'!$AG$13,Language!$B$1:$B$115,0),MATCH($G$2,Language!$A$1:$AW$1,0))</f>
        <v>Chile</v>
      </c>
      <c r="I17" s="20"/>
      <c r="J17" s="34">
        <v>3</v>
      </c>
      <c r="K17" s="35" t="s">
        <v>2180</v>
      </c>
      <c r="L17" s="34">
        <v>1</v>
      </c>
      <c r="M17" s="20"/>
      <c r="N17" s="20" t="str">
        <f>INDEX(Language!$A$1:$AX$115,MATCH('Countries and Timezone'!$AG$14,Language!$B$1:$B$115,0),MATCH($G$2,Language!$A$1:$AW$1,0))</f>
        <v>Ausztrália</v>
      </c>
      <c r="O17" s="25"/>
      <c r="P17" s="22"/>
      <c r="Q17" s="20"/>
      <c r="R17" s="20"/>
      <c r="S17" s="20"/>
      <c r="T17" s="20"/>
      <c r="U17" s="20"/>
      <c r="V17" s="20"/>
      <c r="W17" s="20"/>
      <c r="X17" s="20"/>
      <c r="Y17" s="20"/>
      <c r="Z17" s="20"/>
      <c r="AA17" s="20"/>
      <c r="AB17" s="20"/>
      <c r="AC17" s="23"/>
      <c r="AE17" s="36"/>
      <c r="AF17" s="37"/>
      <c r="CZ17" s="14"/>
      <c r="DA17" s="29"/>
      <c r="DB17" s="30"/>
      <c r="DC17" s="14"/>
    </row>
    <row r="18" spans="2:107" s="17" customFormat="1" ht="15" customHeight="1">
      <c r="B18" s="19"/>
      <c r="C18" s="19"/>
      <c r="D18" s="21">
        <v>5</v>
      </c>
      <c r="E18" s="21" t="s">
        <v>383</v>
      </c>
      <c r="F18" s="31">
        <f t="shared" si="0"/>
        <v>41804.708333333328</v>
      </c>
      <c r="G18" s="32">
        <f>'Countries and Timezone'!R6</f>
        <v>41804.708333333328</v>
      </c>
      <c r="H18" s="33" t="str">
        <f>INDEX(Language!$A$1:$AX$115,MATCH('Countries and Timezone'!$AG$15,Language!$B$1:$B$115,0),MATCH($G$2,Language!$A$1:$AW$1,0))</f>
        <v>Colombia</v>
      </c>
      <c r="I18" s="20"/>
      <c r="J18" s="34">
        <v>3</v>
      </c>
      <c r="K18" s="35" t="s">
        <v>2180</v>
      </c>
      <c r="L18" s="34">
        <v>0</v>
      </c>
      <c r="M18" s="20"/>
      <c r="N18" s="20" t="str">
        <f>INDEX(Language!$A$1:$AX$115,MATCH('Countries and Timezone'!$AG$16,Language!$B$1:$B$115,0),MATCH($G$2,Language!$A$1:$AW$1,0))</f>
        <v>Görögország</v>
      </c>
      <c r="O18" s="25"/>
      <c r="P18" s="22"/>
      <c r="Q18" s="20"/>
      <c r="R18" s="20"/>
      <c r="S18" s="20"/>
      <c r="T18" s="20"/>
      <c r="U18" s="20"/>
      <c r="V18" s="20"/>
      <c r="W18" s="20"/>
      <c r="X18" s="20"/>
      <c r="Y18" s="20"/>
      <c r="Z18" s="20"/>
      <c r="AA18" s="20"/>
      <c r="AB18" s="20"/>
      <c r="AC18" s="23"/>
      <c r="AE18" s="27" t="s">
        <v>2199</v>
      </c>
      <c r="AF18" s="28" t="s">
        <v>3322</v>
      </c>
      <c r="CZ18" s="14"/>
      <c r="DA18" s="29"/>
      <c r="DB18" s="30"/>
      <c r="DC18" s="14"/>
    </row>
    <row r="19" spans="2:107" s="17" customFormat="1" ht="15" customHeight="1">
      <c r="B19" s="19"/>
      <c r="C19" s="19"/>
      <c r="D19" s="21">
        <v>6</v>
      </c>
      <c r="E19" s="21" t="s">
        <v>383</v>
      </c>
      <c r="F19" s="31">
        <f t="shared" si="0"/>
        <v>41805.083333333328</v>
      </c>
      <c r="G19" s="32">
        <f>'Countries and Timezone'!R7</f>
        <v>41805.083333333328</v>
      </c>
      <c r="H19" s="33" t="str">
        <f>INDEX(Language!$A$1:$AX$115,MATCH('Countries and Timezone'!$AG$17,Language!$B$1:$B$115,0),MATCH($G$2,Language!$A$1:$AW$1,0))</f>
        <v>Elefántcsontpart</v>
      </c>
      <c r="I19" s="20"/>
      <c r="J19" s="34">
        <v>2</v>
      </c>
      <c r="K19" s="35" t="s">
        <v>2180</v>
      </c>
      <c r="L19" s="34">
        <v>1</v>
      </c>
      <c r="M19" s="20"/>
      <c r="N19" s="20" t="str">
        <f>INDEX(Language!$A$1:$AX$115,MATCH('Countries and Timezone'!$AG$18,Language!$B$1:$B$115,0),MATCH($G$2,Language!$A$1:$AW$1,0))</f>
        <v>Japán</v>
      </c>
      <c r="O19" s="25"/>
      <c r="P19" s="22"/>
      <c r="Q19" s="20"/>
      <c r="R19" s="20"/>
      <c r="S19" s="20"/>
      <c r="T19" s="20"/>
      <c r="U19" s="20"/>
      <c r="V19" s="20"/>
      <c r="W19" s="20"/>
      <c r="X19" s="20"/>
      <c r="Y19" s="20"/>
      <c r="Z19" s="20"/>
      <c r="AA19" s="20"/>
      <c r="AB19" s="20"/>
      <c r="AC19" s="23"/>
      <c r="AE19" s="27" t="str">
        <f>IF(SUM('Dummy Table'!AM$11:AM$14)&gt;0,IF(ISNA(VLOOKUP(1,'Dummy Table'!AM$11:AN$14,2,FALSE)),"",VLOOKUP(1,'Dummy Table'!AM$11:AN$14,2,FALSE)),"")</f>
        <v/>
      </c>
      <c r="AF19" s="28"/>
      <c r="CZ19" s="14"/>
      <c r="DA19" s="29"/>
      <c r="DB19" s="30"/>
      <c r="DC19" s="14"/>
    </row>
    <row r="20" spans="2:107" s="17" customFormat="1" ht="15" customHeight="1">
      <c r="B20" s="19"/>
      <c r="C20" s="19"/>
      <c r="D20" s="21">
        <v>7</v>
      </c>
      <c r="E20" s="21" t="s">
        <v>2191</v>
      </c>
      <c r="F20" s="31">
        <f t="shared" si="0"/>
        <v>41804.833333333328</v>
      </c>
      <c r="G20" s="32">
        <f>'Countries and Timezone'!R8</f>
        <v>41804.833333333328</v>
      </c>
      <c r="H20" s="33" t="str">
        <f>INDEX(Language!$A$1:$AX$115,MATCH('Countries and Timezone'!$AG$19,Language!$B$1:$B$115,0),MATCH($G$2,Language!$A$1:$AW$1,0))</f>
        <v>Uruguaj</v>
      </c>
      <c r="I20" s="20"/>
      <c r="J20" s="34">
        <v>1</v>
      </c>
      <c r="K20" s="35" t="s">
        <v>2180</v>
      </c>
      <c r="L20" s="34">
        <v>3</v>
      </c>
      <c r="M20" s="20"/>
      <c r="N20" s="20" t="str">
        <f>INDEX(Language!$A$1:$AX$115,MATCH('Countries and Timezone'!$AG$20,Language!$B$1:$B$115,0),MATCH($G$2,Language!$A$1:$AW$1,0))</f>
        <v>Costa Rica</v>
      </c>
      <c r="O20" s="25"/>
      <c r="P20" s="22"/>
      <c r="Q20" s="20"/>
      <c r="R20" s="20"/>
      <c r="S20" s="20"/>
      <c r="T20" s="20"/>
      <c r="U20" s="20"/>
      <c r="V20" s="20"/>
      <c r="W20" s="20"/>
      <c r="X20" s="20"/>
      <c r="Y20" s="20"/>
      <c r="Z20" s="20"/>
      <c r="AA20" s="20"/>
      <c r="AB20" s="20"/>
      <c r="AC20" s="23"/>
      <c r="AE20" s="27" t="str">
        <f>IF(SUM('Dummy Table'!AM$11:AM$14)&gt;0,IF(ISNA(VLOOKUP(2,'Dummy Table'!AM$11:AN$14,2,FALSE)),"",VLOOKUP(2,'Dummy Table'!AM$11:AN$14,2,FALSE)),"")</f>
        <v/>
      </c>
      <c r="AF20" s="28"/>
      <c r="CZ20" s="14"/>
      <c r="DA20" s="38"/>
      <c r="DB20" s="30"/>
      <c r="DC20" s="14"/>
    </row>
    <row r="21" spans="2:107" s="17" customFormat="1" ht="15" customHeight="1">
      <c r="B21" s="19"/>
      <c r="C21" s="19"/>
      <c r="D21" s="21">
        <v>8</v>
      </c>
      <c r="E21" s="21" t="s">
        <v>2191</v>
      </c>
      <c r="F21" s="31">
        <f t="shared" si="0"/>
        <v>41804.958333333328</v>
      </c>
      <c r="G21" s="32">
        <f>'Countries and Timezone'!R9</f>
        <v>41804.958333333328</v>
      </c>
      <c r="H21" s="33" t="str">
        <f>INDEX(Language!$A$1:$AX$115,MATCH('Countries and Timezone'!$AG$21,Language!$B$1:$B$115,0),MATCH($G$2,Language!$A$1:$AW$1,0))</f>
        <v>Anglia</v>
      </c>
      <c r="I21" s="20"/>
      <c r="J21" s="34">
        <v>1</v>
      </c>
      <c r="K21" s="35" t="s">
        <v>2180</v>
      </c>
      <c r="L21" s="34">
        <v>2</v>
      </c>
      <c r="M21" s="20"/>
      <c r="N21" s="20" t="str">
        <f>INDEX(Language!$A$1:$AX$115,MATCH('Countries and Timezone'!$AG$22,Language!$B$1:$B$115,0),MATCH($G$2,Language!$A$1:$AW$1,0))</f>
        <v>Olaszország</v>
      </c>
      <c r="O21" s="25"/>
      <c r="P21" s="22"/>
      <c r="Q21" s="20"/>
      <c r="R21" s="20"/>
      <c r="S21" s="20"/>
      <c r="T21" s="20"/>
      <c r="U21" s="20"/>
      <c r="V21" s="20"/>
      <c r="W21" s="20"/>
      <c r="X21" s="20"/>
      <c r="Y21" s="20"/>
      <c r="Z21" s="20"/>
      <c r="AA21" s="20"/>
      <c r="AB21" s="20"/>
      <c r="AC21" s="23"/>
      <c r="AE21" s="27" t="str">
        <f>IF(SUM('Dummy Table'!AM$11:AM$14)&gt;0,IF(ISNA(VLOOKUP(3,'Dummy Table'!AM$11:AN$14,2,FALSE)),"",VLOOKUP(3,'Dummy Table'!AM$11:AN$14,2,FALSE)),"")</f>
        <v/>
      </c>
      <c r="AF21" s="28"/>
      <c r="CZ21" s="14"/>
      <c r="DA21" s="29"/>
      <c r="DB21" s="30"/>
      <c r="DC21" s="14"/>
    </row>
    <row r="22" spans="2:107" s="17" customFormat="1" ht="15" customHeight="1">
      <c r="B22" s="19"/>
      <c r="C22" s="19"/>
      <c r="D22" s="21">
        <v>9</v>
      </c>
      <c r="E22" s="21" t="s">
        <v>384</v>
      </c>
      <c r="F22" s="31">
        <f t="shared" si="0"/>
        <v>41805.708333333328</v>
      </c>
      <c r="G22" s="32">
        <f>'Countries and Timezone'!R10</f>
        <v>41805.708333333328</v>
      </c>
      <c r="H22" s="33" t="str">
        <f>INDEX(Language!$A$1:$AX$115,MATCH('Countries and Timezone'!$AG$23,Language!$B$1:$B$115,0),MATCH($G$2,Language!$A$1:$AW$1,0))</f>
        <v>Svájc</v>
      </c>
      <c r="I22" s="20"/>
      <c r="J22" s="34">
        <v>2</v>
      </c>
      <c r="K22" s="35" t="s">
        <v>2180</v>
      </c>
      <c r="L22" s="34">
        <v>1</v>
      </c>
      <c r="M22" s="20"/>
      <c r="N22" s="20" t="str">
        <f>INDEX(Language!$A$1:$AX$115,MATCH('Countries and Timezone'!$AG$24,Language!$B$1:$B$115,0),MATCH($G$2,Language!$A$1:$AW$1,0))</f>
        <v>Ecuador</v>
      </c>
      <c r="O22" s="25"/>
      <c r="P22" s="22"/>
      <c r="Q22" s="20"/>
      <c r="R22" s="20"/>
      <c r="S22" s="20"/>
      <c r="T22" s="20"/>
      <c r="U22" s="20"/>
      <c r="V22" s="20"/>
      <c r="W22" s="20"/>
      <c r="X22" s="20"/>
      <c r="Y22" s="20"/>
      <c r="Z22" s="20"/>
      <c r="AA22" s="20"/>
      <c r="AB22" s="20"/>
      <c r="AC22" s="23"/>
      <c r="AE22" s="27" t="str">
        <f>IF(SUM('Dummy Table'!AM$11:AM$14)&gt;0,IF(ISNA(VLOOKUP(4,'Dummy Table'!AM$11:AN$14,2,FALSE)),"",VLOOKUP(4,'Dummy Table'!AM$11:AN$14,2,FALSE)),"")</f>
        <v/>
      </c>
      <c r="AF22" s="28"/>
      <c r="CZ22" s="14"/>
      <c r="DA22" s="29"/>
      <c r="DB22" s="30"/>
      <c r="DC22" s="14"/>
    </row>
    <row r="23" spans="2:107" s="17" customFormat="1" ht="15" customHeight="1">
      <c r="B23" s="19"/>
      <c r="C23" s="19"/>
      <c r="D23" s="21">
        <v>10</v>
      </c>
      <c r="E23" s="21" t="s">
        <v>384</v>
      </c>
      <c r="F23" s="31">
        <f t="shared" si="0"/>
        <v>41805.833333333328</v>
      </c>
      <c r="G23" s="32">
        <f>'Countries and Timezone'!R11</f>
        <v>41805.833333333328</v>
      </c>
      <c r="H23" s="33" t="str">
        <f>INDEX(Language!$A$1:$AX$115,MATCH('Countries and Timezone'!$AG$25,Language!$B$1:$B$115,0),MATCH($G$2,Language!$A$1:$AW$1,0))</f>
        <v>Franciaország</v>
      </c>
      <c r="I23" s="20"/>
      <c r="J23" s="34">
        <v>3</v>
      </c>
      <c r="K23" s="35" t="s">
        <v>2180</v>
      </c>
      <c r="L23" s="34">
        <v>0</v>
      </c>
      <c r="M23" s="20"/>
      <c r="N23" s="20" t="str">
        <f>INDEX(Language!$A$1:$AX$115,MATCH('Countries and Timezone'!$AG$26,Language!$B$1:$B$115,0),MATCH($G$2,Language!$A$1:$AW$1,0))</f>
        <v>Hondurasz</v>
      </c>
      <c r="O23" s="25"/>
      <c r="P23" s="22"/>
      <c r="Q23" s="20"/>
      <c r="R23" s="20"/>
      <c r="S23" s="20"/>
      <c r="T23" s="20"/>
      <c r="U23" s="20"/>
      <c r="V23" s="20"/>
      <c r="W23" s="20"/>
      <c r="X23" s="20"/>
      <c r="Y23" s="20"/>
      <c r="Z23" s="20"/>
      <c r="AA23" s="20"/>
      <c r="AB23" s="20"/>
      <c r="AC23" s="23"/>
      <c r="AE23" s="36"/>
      <c r="AF23" s="37"/>
      <c r="CZ23" s="14"/>
      <c r="DA23" s="29"/>
      <c r="DB23" s="30"/>
      <c r="DC23" s="14"/>
    </row>
    <row r="24" spans="2:107" s="17" customFormat="1" ht="15" customHeight="1">
      <c r="B24" s="19"/>
      <c r="C24" s="19"/>
      <c r="D24" s="21">
        <v>11</v>
      </c>
      <c r="E24" s="21" t="s">
        <v>2197</v>
      </c>
      <c r="F24" s="31">
        <f t="shared" si="0"/>
        <v>41805.958333333328</v>
      </c>
      <c r="G24" s="32">
        <f>'Countries and Timezone'!R12</f>
        <v>41805.958333333328</v>
      </c>
      <c r="H24" s="33" t="str">
        <f>INDEX(Language!$A$1:$AX$115,MATCH('Countries and Timezone'!$AG$27,Language!$B$1:$B$115,0),MATCH($G$2,Language!$A$1:$AW$1,0))</f>
        <v>Argentína</v>
      </c>
      <c r="I24" s="20"/>
      <c r="J24" s="34">
        <v>2</v>
      </c>
      <c r="K24" s="35" t="s">
        <v>2180</v>
      </c>
      <c r="L24" s="34">
        <v>1</v>
      </c>
      <c r="M24" s="20"/>
      <c r="N24" s="20" t="str">
        <f>INDEX(Language!$A$1:$AX$115,MATCH('Countries and Timezone'!$AG$28,Language!$B$1:$B$115,0),MATCH($G$2,Language!$A$1:$AW$1,0))</f>
        <v>Bosznia-Hercegovina</v>
      </c>
      <c r="O24" s="25"/>
      <c r="P24" s="22"/>
      <c r="Q24" s="20"/>
      <c r="R24" s="20"/>
      <c r="S24" s="20"/>
      <c r="T24" s="20"/>
      <c r="U24" s="20"/>
      <c r="V24" s="20"/>
      <c r="W24" s="20"/>
      <c r="X24" s="20"/>
      <c r="Y24" s="20"/>
      <c r="Z24" s="20"/>
      <c r="AA24" s="20"/>
      <c r="AB24" s="20"/>
      <c r="AC24" s="23"/>
      <c r="AE24" s="27" t="s">
        <v>2199</v>
      </c>
      <c r="AF24" s="28" t="s">
        <v>3322</v>
      </c>
      <c r="CZ24" s="14"/>
      <c r="DA24" s="29"/>
      <c r="DB24" s="30"/>
      <c r="DC24" s="14"/>
    </row>
    <row r="25" spans="2:107" s="17" customFormat="1" ht="15" customHeight="1">
      <c r="B25" s="19"/>
      <c r="C25" s="19"/>
      <c r="D25" s="21">
        <v>12</v>
      </c>
      <c r="E25" s="21" t="s">
        <v>2197</v>
      </c>
      <c r="F25" s="31">
        <f t="shared" si="0"/>
        <v>41806.833333333328</v>
      </c>
      <c r="G25" s="32">
        <f>'Countries and Timezone'!R13</f>
        <v>41806.833333333328</v>
      </c>
      <c r="H25" s="33" t="str">
        <f>INDEX(Language!$A$1:$AX$115,MATCH('Countries and Timezone'!$AG$29,Language!$B$1:$B$115,0),MATCH($G$2,Language!$A$1:$AW$1,0))</f>
        <v>Irán</v>
      </c>
      <c r="I25" s="20"/>
      <c r="J25" s="34">
        <v>0</v>
      </c>
      <c r="K25" s="35" t="s">
        <v>2180</v>
      </c>
      <c r="L25" s="34">
        <v>0</v>
      </c>
      <c r="M25" s="20"/>
      <c r="N25" s="20" t="str">
        <f>INDEX(Language!$A$1:$AX$115,MATCH('Countries and Timezone'!$AG$30,Language!$B$1:$B$115,0),MATCH($G$2,Language!$A$1:$AW$1,0))</f>
        <v>Nigéria</v>
      </c>
      <c r="O25" s="25"/>
      <c r="P25" s="22"/>
      <c r="Q25" s="20"/>
      <c r="R25" s="20"/>
      <c r="S25" s="20"/>
      <c r="T25" s="20"/>
      <c r="U25" s="20"/>
      <c r="V25" s="20"/>
      <c r="W25" s="20"/>
      <c r="X25" s="20"/>
      <c r="Y25" s="20"/>
      <c r="Z25" s="20"/>
      <c r="AA25" s="20"/>
      <c r="AB25" s="20"/>
      <c r="AC25" s="23"/>
      <c r="AE25" s="27" t="str">
        <f>IF(SUM('Dummy Table'!AM$18:AM$21)&gt;0,IF(ISNA(VLOOKUP(1,'Dummy Table'!AM$18:AN$21,2,FALSE)),"",VLOOKUP(1,'Dummy Table'!AM$18:AN$21,2,FALSE)),"")</f>
        <v/>
      </c>
      <c r="AF25" s="28"/>
      <c r="CZ25" s="14"/>
      <c r="DA25" s="29"/>
      <c r="DB25" s="30"/>
      <c r="DC25" s="14"/>
    </row>
    <row r="26" spans="2:107" s="17" customFormat="1" ht="15" customHeight="1">
      <c r="B26" s="19"/>
      <c r="C26" s="19"/>
      <c r="D26" s="21">
        <v>13</v>
      </c>
      <c r="E26" s="21" t="s">
        <v>385</v>
      </c>
      <c r="F26" s="31">
        <f t="shared" si="0"/>
        <v>41806.708333333328</v>
      </c>
      <c r="G26" s="32">
        <f>'Countries and Timezone'!R14</f>
        <v>41806.708333333328</v>
      </c>
      <c r="H26" s="33" t="str">
        <f>INDEX(Language!$A$1:$AX$115,MATCH('Countries and Timezone'!$AG$31,Language!$B$1:$B$115,0),MATCH($G$2,Language!$A$1:$AW$1,0))</f>
        <v>Németország</v>
      </c>
      <c r="I26" s="20"/>
      <c r="J26" s="34">
        <v>4</v>
      </c>
      <c r="K26" s="35" t="s">
        <v>2180</v>
      </c>
      <c r="L26" s="34">
        <v>0</v>
      </c>
      <c r="M26" s="20"/>
      <c r="N26" s="20" t="str">
        <f>INDEX(Language!$A$1:$AX$115,MATCH('Countries and Timezone'!$AG$32,Language!$B$1:$B$115,0),MATCH($G$2,Language!$A$1:$AW$1,0))</f>
        <v>Portugália</v>
      </c>
      <c r="O26" s="25"/>
      <c r="P26" s="22"/>
      <c r="Q26" s="20"/>
      <c r="R26" s="20"/>
      <c r="S26" s="20"/>
      <c r="T26" s="20"/>
      <c r="U26" s="20"/>
      <c r="V26" s="20"/>
      <c r="W26" s="20"/>
      <c r="X26" s="20"/>
      <c r="Y26" s="20"/>
      <c r="Z26" s="20"/>
      <c r="AA26" s="20"/>
      <c r="AB26" s="20"/>
      <c r="AC26" s="23"/>
      <c r="AE26" s="27" t="str">
        <f>IF(SUM('Dummy Table'!AM$18:AM$21)&gt;0,IF(ISNA(VLOOKUP(2,'Dummy Table'!AM$18:AN$21,2,FALSE)),"",VLOOKUP(2,'Dummy Table'!AM$18:AN$21,2,FALSE)),"")</f>
        <v/>
      </c>
      <c r="AF26" s="28"/>
      <c r="CZ26" s="14"/>
      <c r="DA26" s="29"/>
      <c r="DB26" s="30"/>
      <c r="DC26" s="14"/>
    </row>
    <row r="27" spans="2:107" s="17" customFormat="1" ht="15" customHeight="1">
      <c r="B27" s="19"/>
      <c r="C27" s="19"/>
      <c r="D27" s="21">
        <v>14</v>
      </c>
      <c r="E27" s="21" t="s">
        <v>385</v>
      </c>
      <c r="F27" s="31">
        <f t="shared" si="0"/>
        <v>41806.958333333328</v>
      </c>
      <c r="G27" s="32">
        <f>'Countries and Timezone'!R15</f>
        <v>41806.958333333328</v>
      </c>
      <c r="H27" s="33" t="str">
        <f>INDEX(Language!$A$1:$AX$115,MATCH('Countries and Timezone'!$AG$33,Language!$B$1:$B$115,0),MATCH($G$2,Language!$A$1:$AW$1,0))</f>
        <v>Ghána</v>
      </c>
      <c r="I27" s="20"/>
      <c r="J27" s="34">
        <v>1</v>
      </c>
      <c r="K27" s="35" t="s">
        <v>2180</v>
      </c>
      <c r="L27" s="34">
        <v>2</v>
      </c>
      <c r="M27" s="20"/>
      <c r="N27" s="20" t="str">
        <f>INDEX(Language!$A$1:$AX$115,MATCH('Countries and Timezone'!$AG$34,Language!$B$1:$B$115,0),MATCH($G$2,Language!$A$1:$AW$1,0))</f>
        <v>Egyesült Államok</v>
      </c>
      <c r="O27" s="25"/>
      <c r="P27" s="22"/>
      <c r="Q27" s="20"/>
      <c r="R27" s="20"/>
      <c r="S27" s="20"/>
      <c r="T27" s="20"/>
      <c r="U27" s="20"/>
      <c r="V27" s="20"/>
      <c r="W27" s="20"/>
      <c r="X27" s="20"/>
      <c r="Y27" s="20"/>
      <c r="Z27" s="20"/>
      <c r="AA27" s="20"/>
      <c r="AB27" s="20"/>
      <c r="AC27" s="23"/>
      <c r="AE27" s="27" t="str">
        <f>IF(SUM('Dummy Table'!AM$18:AM$21)&gt;0,IF(ISNA(VLOOKUP(3,'Dummy Table'!AM$18:AN$21,2,FALSE)),"",VLOOKUP(3,'Dummy Table'!AM$18:AN$21,2,FALSE)),"")</f>
        <v/>
      </c>
      <c r="AF27" s="28"/>
      <c r="CZ27" s="14"/>
      <c r="DA27" s="29"/>
      <c r="DB27" s="30"/>
      <c r="DC27" s="14"/>
    </row>
    <row r="28" spans="2:107" s="17" customFormat="1" ht="15" customHeight="1">
      <c r="B28" s="19"/>
      <c r="C28" s="19"/>
      <c r="D28" s="21">
        <v>15</v>
      </c>
      <c r="E28" s="21" t="s">
        <v>386</v>
      </c>
      <c r="F28" s="31">
        <f t="shared" si="0"/>
        <v>41807.708333333328</v>
      </c>
      <c r="G28" s="32">
        <f>'Countries and Timezone'!R16</f>
        <v>41807.708333333328</v>
      </c>
      <c r="H28" s="33" t="str">
        <f>INDEX(Language!$A$1:$AX$115,MATCH('Countries and Timezone'!$AG$35,Language!$B$1:$B$115,0),MATCH($G$2,Language!$A$1:$AW$1,0))</f>
        <v>Belgium</v>
      </c>
      <c r="I28" s="20"/>
      <c r="J28" s="34">
        <v>2</v>
      </c>
      <c r="K28" s="35" t="s">
        <v>2180</v>
      </c>
      <c r="L28" s="34">
        <v>1</v>
      </c>
      <c r="M28" s="20"/>
      <c r="N28" s="20" t="str">
        <f>INDEX(Language!$A$1:$AX$115,MATCH('Countries and Timezone'!$AG$36,Language!$B$1:$B$115,0),MATCH($G$2,Language!$A$1:$AW$1,0))</f>
        <v>Algéria</v>
      </c>
      <c r="O28" s="25"/>
      <c r="P28" s="22"/>
      <c r="Q28" s="20"/>
      <c r="R28" s="20"/>
      <c r="S28" s="20"/>
      <c r="T28" s="20"/>
      <c r="U28" s="20"/>
      <c r="V28" s="20"/>
      <c r="W28" s="20"/>
      <c r="X28" s="20"/>
      <c r="Y28" s="20"/>
      <c r="Z28" s="20"/>
      <c r="AA28" s="20"/>
      <c r="AB28" s="20"/>
      <c r="AC28" s="23"/>
      <c r="AE28" s="27" t="str">
        <f>IF(SUM('Dummy Table'!AM$18:AM$21)&gt;0,IF(ISNA(VLOOKUP(4,'Dummy Table'!AM$18:AN$21,2,FALSE)),"",VLOOKUP(4,'Dummy Table'!AM$18:AN$21,2,FALSE)),"")</f>
        <v/>
      </c>
      <c r="AF28" s="28"/>
      <c r="CZ28" s="14"/>
      <c r="DA28" s="29"/>
      <c r="DB28" s="30"/>
      <c r="DC28" s="14"/>
    </row>
    <row r="29" spans="2:107" s="17" customFormat="1" ht="15" customHeight="1">
      <c r="B29" s="19"/>
      <c r="C29" s="19"/>
      <c r="D29" s="21">
        <v>16</v>
      </c>
      <c r="E29" s="21" t="s">
        <v>386</v>
      </c>
      <c r="F29" s="31">
        <f t="shared" si="0"/>
        <v>41807.958333333328</v>
      </c>
      <c r="G29" s="32">
        <f>'Countries and Timezone'!R17</f>
        <v>41807.958333333328</v>
      </c>
      <c r="H29" s="33" t="str">
        <f>INDEX(Language!$A$1:$AX$115,MATCH('Countries and Timezone'!$AG$37,Language!$B$1:$B$115,0),MATCH($G$2,Language!$A$1:$AW$1,0))</f>
        <v>Oroszország</v>
      </c>
      <c r="I29" s="20"/>
      <c r="J29" s="34">
        <v>1</v>
      </c>
      <c r="K29" s="35" t="s">
        <v>2180</v>
      </c>
      <c r="L29" s="34">
        <v>1</v>
      </c>
      <c r="M29" s="20"/>
      <c r="N29" s="20" t="str">
        <f>INDEX(Language!$A$1:$AX$115,MATCH('Countries and Timezone'!$AG$38,Language!$B$1:$B$115,0),MATCH($G$2,Language!$A$1:$AW$1,0))</f>
        <v>Dél-Kórea</v>
      </c>
      <c r="O29" s="25"/>
      <c r="P29" s="22"/>
      <c r="Q29" s="20"/>
      <c r="R29" s="20"/>
      <c r="S29" s="20"/>
      <c r="T29" s="20"/>
      <c r="U29" s="20"/>
      <c r="V29" s="20"/>
      <c r="W29" s="20"/>
      <c r="X29" s="20"/>
      <c r="Y29" s="20"/>
      <c r="Z29" s="20"/>
      <c r="AA29" s="20"/>
      <c r="AB29" s="20"/>
      <c r="AC29" s="23"/>
      <c r="AE29" s="36"/>
      <c r="AF29" s="37"/>
      <c r="CZ29" s="14"/>
      <c r="DA29" s="29"/>
      <c r="DB29" s="30"/>
      <c r="DC29" s="14"/>
    </row>
    <row r="30" spans="2:107" s="17" customFormat="1" ht="15" customHeight="1">
      <c r="B30" s="19"/>
      <c r="C30" s="19"/>
      <c r="D30" s="21">
        <v>17</v>
      </c>
      <c r="E30" s="21" t="s">
        <v>2198</v>
      </c>
      <c r="F30" s="31">
        <f t="shared" si="0"/>
        <v>41807.833333333328</v>
      </c>
      <c r="G30" s="32">
        <f>'Countries and Timezone'!R18</f>
        <v>41807.833333333328</v>
      </c>
      <c r="H30" s="33" t="str">
        <f>H14</f>
        <v>Brazília</v>
      </c>
      <c r="I30" s="20"/>
      <c r="J30" s="34">
        <v>0</v>
      </c>
      <c r="K30" s="35" t="s">
        <v>2180</v>
      </c>
      <c r="L30" s="34">
        <v>0</v>
      </c>
      <c r="M30" s="20"/>
      <c r="N30" s="20" t="str">
        <f>H15</f>
        <v>Mexikó</v>
      </c>
      <c r="O30" s="25"/>
      <c r="P30" s="22"/>
      <c r="Q30" s="20"/>
      <c r="R30" s="20"/>
      <c r="S30" s="20"/>
      <c r="T30" s="20"/>
      <c r="U30" s="20"/>
      <c r="V30" s="20"/>
      <c r="W30" s="20"/>
      <c r="X30" s="20"/>
      <c r="Y30" s="20"/>
      <c r="Z30" s="20"/>
      <c r="AA30" s="20"/>
      <c r="AB30" s="20"/>
      <c r="AC30" s="23"/>
      <c r="AE30" s="27" t="s">
        <v>2199</v>
      </c>
      <c r="AF30" s="28" t="s">
        <v>3322</v>
      </c>
      <c r="CZ30" s="14"/>
      <c r="DA30" s="29"/>
      <c r="DB30" s="30"/>
      <c r="DC30" s="14"/>
    </row>
    <row r="31" spans="2:107" s="17" customFormat="1" ht="15" customHeight="1">
      <c r="B31" s="19"/>
      <c r="C31" s="19"/>
      <c r="D31" s="21">
        <v>18</v>
      </c>
      <c r="E31" s="21" t="s">
        <v>2198</v>
      </c>
      <c r="F31" s="31">
        <f t="shared" si="0"/>
        <v>41808.958333333328</v>
      </c>
      <c r="G31" s="32">
        <f>'Countries and Timezone'!R19</f>
        <v>41808.958333333328</v>
      </c>
      <c r="H31" s="33" t="str">
        <f>N15</f>
        <v>Kamerun</v>
      </c>
      <c r="I31" s="20"/>
      <c r="J31" s="34">
        <v>0</v>
      </c>
      <c r="K31" s="35" t="s">
        <v>2180</v>
      </c>
      <c r="L31" s="34">
        <v>4</v>
      </c>
      <c r="M31" s="20"/>
      <c r="N31" s="20" t="str">
        <f>N14</f>
        <v>Horvátország</v>
      </c>
      <c r="O31" s="25"/>
      <c r="P31" s="22"/>
      <c r="Q31" s="20"/>
      <c r="R31" s="20"/>
      <c r="S31" s="20"/>
      <c r="T31" s="20"/>
      <c r="U31" s="20"/>
      <c r="V31" s="20"/>
      <c r="W31" s="20"/>
      <c r="X31" s="20"/>
      <c r="Y31" s="20"/>
      <c r="Z31" s="20"/>
      <c r="AA31" s="20"/>
      <c r="AB31" s="20"/>
      <c r="AC31" s="23"/>
      <c r="AE31" s="27" t="str">
        <f>IF(SUM('Dummy Table'!AM$25:AM$28)&gt;0,IF(ISNA(VLOOKUP(1,'Dummy Table'!AM$25:AN$28,2,FALSE)),"",VLOOKUP(1,'Dummy Table'!AM$25:AN$28,2,FALSE)),"")</f>
        <v/>
      </c>
      <c r="AF31" s="28"/>
      <c r="CZ31" s="14"/>
      <c r="DA31" s="29"/>
      <c r="DB31" s="30"/>
      <c r="DC31" s="14"/>
    </row>
    <row r="32" spans="2:107" s="17" customFormat="1" ht="15" customHeight="1">
      <c r="B32" s="19"/>
      <c r="C32" s="19"/>
      <c r="D32" s="21">
        <v>19</v>
      </c>
      <c r="E32" s="21" t="s">
        <v>382</v>
      </c>
      <c r="F32" s="31">
        <f t="shared" si="0"/>
        <v>41808.833333333328</v>
      </c>
      <c r="G32" s="32">
        <f>'Countries and Timezone'!R20</f>
        <v>41808.833333333328</v>
      </c>
      <c r="H32" s="33" t="str">
        <f>H16</f>
        <v>Spanyolország</v>
      </c>
      <c r="I32" s="20"/>
      <c r="J32" s="34">
        <v>0</v>
      </c>
      <c r="K32" s="35" t="s">
        <v>2180</v>
      </c>
      <c r="L32" s="34">
        <v>2</v>
      </c>
      <c r="M32" s="20"/>
      <c r="N32" s="20" t="str">
        <f>H17</f>
        <v>Chile</v>
      </c>
      <c r="O32" s="25"/>
      <c r="P32" s="22"/>
      <c r="Q32" s="20"/>
      <c r="R32" s="20"/>
      <c r="S32" s="20"/>
      <c r="T32" s="20"/>
      <c r="U32" s="20"/>
      <c r="V32" s="20"/>
      <c r="W32" s="20"/>
      <c r="X32" s="20"/>
      <c r="Y32" s="20"/>
      <c r="Z32" s="20"/>
      <c r="AA32" s="20"/>
      <c r="AB32" s="20"/>
      <c r="AC32" s="23"/>
      <c r="AE32" s="27" t="str">
        <f>IF(SUM('Dummy Table'!AM$25:AM$28)&gt;0,IF(ISNA(VLOOKUP(2,'Dummy Table'!AM$25:AN$28,2,FALSE)),"",VLOOKUP(2,'Dummy Table'!AM$25:AN$28,2,FALSE)),"")</f>
        <v/>
      </c>
      <c r="AF32" s="28"/>
      <c r="CZ32" s="14"/>
      <c r="DA32" s="29"/>
      <c r="DB32" s="30"/>
      <c r="DC32" s="14"/>
    </row>
    <row r="33" spans="2:107" s="17" customFormat="1" ht="15" customHeight="1">
      <c r="B33" s="19"/>
      <c r="C33" s="19"/>
      <c r="D33" s="21">
        <v>20</v>
      </c>
      <c r="E33" s="21" t="s">
        <v>382</v>
      </c>
      <c r="F33" s="31">
        <f t="shared" si="0"/>
        <v>41808.708333333328</v>
      </c>
      <c r="G33" s="32">
        <f>'Countries and Timezone'!R21</f>
        <v>41808.708333333328</v>
      </c>
      <c r="H33" s="33" t="str">
        <f>N17</f>
        <v>Ausztrália</v>
      </c>
      <c r="I33" s="20"/>
      <c r="J33" s="34">
        <v>2</v>
      </c>
      <c r="K33" s="35" t="s">
        <v>2180</v>
      </c>
      <c r="L33" s="34">
        <v>3</v>
      </c>
      <c r="M33" s="20"/>
      <c r="N33" s="20" t="str">
        <f>N16</f>
        <v>Hollandia</v>
      </c>
      <c r="O33" s="25"/>
      <c r="P33" s="22"/>
      <c r="Q33" s="20"/>
      <c r="R33" s="20"/>
      <c r="S33" s="20"/>
      <c r="T33" s="20"/>
      <c r="U33" s="20"/>
      <c r="V33" s="20"/>
      <c r="W33" s="20"/>
      <c r="X33" s="20"/>
      <c r="Y33" s="20"/>
      <c r="Z33" s="20"/>
      <c r="AA33" s="20"/>
      <c r="AB33" s="20"/>
      <c r="AC33" s="23"/>
      <c r="AE33" s="27" t="str">
        <f>IF(SUM('Dummy Table'!AM$25:AM$28)&gt;0,IF(ISNA(VLOOKUP(3,'Dummy Table'!AM$25:AN$28,2,FALSE)),"",VLOOKUP(3,'Dummy Table'!AM$25:AN$28,2,FALSE)),"")</f>
        <v/>
      </c>
      <c r="AF33" s="28"/>
      <c r="CZ33" s="14"/>
      <c r="DA33" s="29"/>
      <c r="DB33" s="30"/>
      <c r="DC33" s="14"/>
    </row>
    <row r="34" spans="2:107" s="17" customFormat="1" ht="15" customHeight="1">
      <c r="B34" s="19"/>
      <c r="C34" s="19"/>
      <c r="D34" s="21">
        <v>21</v>
      </c>
      <c r="E34" s="21" t="s">
        <v>383</v>
      </c>
      <c r="F34" s="31">
        <f t="shared" si="0"/>
        <v>41809.708333333328</v>
      </c>
      <c r="G34" s="32">
        <f>'Countries and Timezone'!R22</f>
        <v>41809.708333333328</v>
      </c>
      <c r="H34" s="33" t="str">
        <f>H18</f>
        <v>Colombia</v>
      </c>
      <c r="I34" s="20"/>
      <c r="J34" s="34">
        <v>2</v>
      </c>
      <c r="K34" s="35" t="s">
        <v>2180</v>
      </c>
      <c r="L34" s="34">
        <v>1</v>
      </c>
      <c r="M34" s="20"/>
      <c r="N34" s="20" t="str">
        <f>H19</f>
        <v>Elefántcsontpart</v>
      </c>
      <c r="O34" s="25"/>
      <c r="P34" s="22"/>
      <c r="Q34" s="20"/>
      <c r="R34" s="20"/>
      <c r="S34" s="20"/>
      <c r="T34" s="20"/>
      <c r="U34" s="20"/>
      <c r="V34" s="20"/>
      <c r="W34" s="20"/>
      <c r="X34" s="20"/>
      <c r="Y34" s="20"/>
      <c r="Z34" s="20"/>
      <c r="AA34" s="20"/>
      <c r="AB34" s="20"/>
      <c r="AC34" s="23"/>
      <c r="AE34" s="27" t="str">
        <f>IF(SUM('Dummy Table'!AM$25:AM$28)&gt;0,IF(ISNA(VLOOKUP(4,'Dummy Table'!AM$25:AN$28,2,FALSE)),"",VLOOKUP(4,'Dummy Table'!AM$25:AN$28,2,FALSE)),"")</f>
        <v/>
      </c>
      <c r="AF34" s="28"/>
      <c r="CZ34" s="14"/>
      <c r="DA34" s="29"/>
      <c r="DB34" s="30"/>
      <c r="DC34" s="14"/>
    </row>
    <row r="35" spans="2:107" s="17" customFormat="1" ht="15" customHeight="1">
      <c r="B35" s="19"/>
      <c r="C35" s="19"/>
      <c r="D35" s="21">
        <v>22</v>
      </c>
      <c r="E35" s="21" t="s">
        <v>383</v>
      </c>
      <c r="F35" s="31">
        <f t="shared" si="0"/>
        <v>41809.958333333328</v>
      </c>
      <c r="G35" s="32">
        <f>'Countries and Timezone'!R23</f>
        <v>41809.958333333328</v>
      </c>
      <c r="H35" s="33" t="str">
        <f>N19</f>
        <v>Japán</v>
      </c>
      <c r="I35" s="20"/>
      <c r="J35" s="34">
        <v>0</v>
      </c>
      <c r="K35" s="35" t="s">
        <v>2180</v>
      </c>
      <c r="L35" s="34">
        <v>0</v>
      </c>
      <c r="M35" s="20"/>
      <c r="N35" s="20" t="str">
        <f>N18</f>
        <v>Görögország</v>
      </c>
      <c r="O35" s="25"/>
      <c r="P35" s="22"/>
      <c r="Q35" s="20"/>
      <c r="R35" s="20"/>
      <c r="S35" s="20"/>
      <c r="T35" s="20"/>
      <c r="U35" s="20"/>
      <c r="V35" s="20"/>
      <c r="W35" s="20"/>
      <c r="X35" s="20"/>
      <c r="Y35" s="20"/>
      <c r="Z35" s="20"/>
      <c r="AA35" s="20"/>
      <c r="AB35" s="20"/>
      <c r="AC35" s="23"/>
      <c r="AE35" s="36"/>
      <c r="AF35" s="37"/>
      <c r="CZ35" s="14"/>
      <c r="DA35" s="29"/>
      <c r="DB35" s="30"/>
      <c r="DC35" s="14"/>
    </row>
    <row r="36" spans="2:107" s="17" customFormat="1" ht="15" customHeight="1">
      <c r="B36" s="19"/>
      <c r="C36" s="19"/>
      <c r="D36" s="21">
        <v>23</v>
      </c>
      <c r="E36" s="21" t="s">
        <v>2191</v>
      </c>
      <c r="F36" s="31">
        <f t="shared" si="0"/>
        <v>41809.833333333328</v>
      </c>
      <c r="G36" s="32">
        <f>'Countries and Timezone'!R24</f>
        <v>41809.833333333328</v>
      </c>
      <c r="H36" s="33" t="str">
        <f>H20</f>
        <v>Uruguaj</v>
      </c>
      <c r="I36" s="20"/>
      <c r="J36" s="34">
        <v>2</v>
      </c>
      <c r="K36" s="35" t="s">
        <v>2180</v>
      </c>
      <c r="L36" s="34">
        <v>1</v>
      </c>
      <c r="M36" s="20"/>
      <c r="N36" s="20" t="str">
        <f>H21</f>
        <v>Anglia</v>
      </c>
      <c r="O36" s="25"/>
      <c r="P36" s="22"/>
      <c r="Q36" s="20"/>
      <c r="R36" s="20"/>
      <c r="S36" s="20"/>
      <c r="T36" s="20"/>
      <c r="U36" s="20"/>
      <c r="V36" s="20"/>
      <c r="W36" s="20"/>
      <c r="X36" s="20"/>
      <c r="Y36" s="20"/>
      <c r="Z36" s="20"/>
      <c r="AA36" s="20"/>
      <c r="AB36" s="20"/>
      <c r="AC36" s="23"/>
      <c r="AE36" s="27" t="s">
        <v>2199</v>
      </c>
      <c r="AF36" s="28" t="s">
        <v>3322</v>
      </c>
      <c r="CZ36" s="14"/>
      <c r="DA36" s="29"/>
      <c r="DB36" s="30"/>
      <c r="DC36" s="14"/>
    </row>
    <row r="37" spans="2:107" s="17" customFormat="1" ht="15" customHeight="1">
      <c r="B37" s="19"/>
      <c r="C37" s="19"/>
      <c r="D37" s="21">
        <v>24</v>
      </c>
      <c r="E37" s="21" t="s">
        <v>2191</v>
      </c>
      <c r="F37" s="31">
        <f t="shared" si="0"/>
        <v>41810.708333333328</v>
      </c>
      <c r="G37" s="32">
        <f>'Countries and Timezone'!R25</f>
        <v>41810.708333333328</v>
      </c>
      <c r="H37" s="33" t="str">
        <f>N21</f>
        <v>Olaszország</v>
      </c>
      <c r="I37" s="20"/>
      <c r="J37" s="34">
        <v>0</v>
      </c>
      <c r="K37" s="35" t="s">
        <v>2180</v>
      </c>
      <c r="L37" s="34">
        <v>1</v>
      </c>
      <c r="M37" s="20"/>
      <c r="N37" s="20" t="str">
        <f>N20</f>
        <v>Costa Rica</v>
      </c>
      <c r="O37" s="25"/>
      <c r="P37" s="22"/>
      <c r="Q37" s="20"/>
      <c r="R37" s="20"/>
      <c r="S37" s="20"/>
      <c r="T37" s="20"/>
      <c r="U37" s="20"/>
      <c r="V37" s="20"/>
      <c r="W37" s="20"/>
      <c r="X37" s="20"/>
      <c r="Y37" s="20"/>
      <c r="Z37" s="20"/>
      <c r="AA37" s="20"/>
      <c r="AB37" s="20"/>
      <c r="AC37" s="23"/>
      <c r="AE37" s="27" t="str">
        <f>IF(SUM('Dummy Table'!AM$32:AM$35)&gt;0,IF(ISNA(VLOOKUP(1,'Dummy Table'!AM$32:AN$35,2,FALSE)),"",VLOOKUP(1,'Dummy Table'!AM$32:AN$35,2,FALSE)),"")</f>
        <v/>
      </c>
      <c r="AF37" s="28"/>
      <c r="CZ37" s="14"/>
      <c r="DA37" s="29"/>
      <c r="DB37" s="30"/>
      <c r="DC37" s="14"/>
    </row>
    <row r="38" spans="2:107" s="17" customFormat="1" ht="15" customHeight="1">
      <c r="B38" s="19"/>
      <c r="C38" s="19"/>
      <c r="D38" s="21">
        <v>25</v>
      </c>
      <c r="E38" s="21" t="s">
        <v>384</v>
      </c>
      <c r="F38" s="31">
        <f t="shared" si="0"/>
        <v>41810.833333333328</v>
      </c>
      <c r="G38" s="32">
        <f>'Countries and Timezone'!R26</f>
        <v>41810.833333333328</v>
      </c>
      <c r="H38" s="33" t="str">
        <f>H22</f>
        <v>Svájc</v>
      </c>
      <c r="I38" s="20"/>
      <c r="J38" s="34">
        <v>2</v>
      </c>
      <c r="K38" s="35" t="s">
        <v>2180</v>
      </c>
      <c r="L38" s="34">
        <v>5</v>
      </c>
      <c r="M38" s="20"/>
      <c r="N38" s="20" t="str">
        <f>H23</f>
        <v>Franciaország</v>
      </c>
      <c r="O38" s="25"/>
      <c r="P38" s="22"/>
      <c r="Q38" s="20"/>
      <c r="R38" s="20"/>
      <c r="S38" s="20"/>
      <c r="T38" s="20"/>
      <c r="U38" s="20"/>
      <c r="V38" s="20"/>
      <c r="W38" s="20"/>
      <c r="X38" s="20"/>
      <c r="Y38" s="20"/>
      <c r="Z38" s="20"/>
      <c r="AA38" s="20"/>
      <c r="AB38" s="20"/>
      <c r="AC38" s="23"/>
      <c r="AE38" s="27" t="str">
        <f>IF(SUM('Dummy Table'!AM$32:AM$35)&gt;0,IF(ISNA(VLOOKUP(2,'Dummy Table'!AM$32:AN$35,2,FALSE)),"",VLOOKUP(2,'Dummy Table'!AM$32:AN$35,2,FALSE)),"")</f>
        <v/>
      </c>
      <c r="AF38" s="28"/>
      <c r="CZ38" s="14"/>
      <c r="DA38" s="29"/>
      <c r="DB38" s="30"/>
      <c r="DC38" s="14"/>
    </row>
    <row r="39" spans="2:107" s="17" customFormat="1" ht="15" customHeight="1">
      <c r="B39" s="19"/>
      <c r="C39" s="19"/>
      <c r="D39" s="21">
        <v>26</v>
      </c>
      <c r="E39" s="21" t="s">
        <v>384</v>
      </c>
      <c r="F39" s="31">
        <f t="shared" si="0"/>
        <v>41810.958333333328</v>
      </c>
      <c r="G39" s="32">
        <f>'Countries and Timezone'!R27</f>
        <v>41810.958333333328</v>
      </c>
      <c r="H39" s="33" t="str">
        <f>N23</f>
        <v>Hondurasz</v>
      </c>
      <c r="I39" s="20"/>
      <c r="J39" s="34">
        <v>1</v>
      </c>
      <c r="K39" s="35" t="s">
        <v>2180</v>
      </c>
      <c r="L39" s="34">
        <v>2</v>
      </c>
      <c r="M39" s="20"/>
      <c r="N39" s="20" t="str">
        <f>N22</f>
        <v>Ecuador</v>
      </c>
      <c r="O39" s="25"/>
      <c r="P39" s="22"/>
      <c r="Q39" s="20"/>
      <c r="R39" s="20"/>
      <c r="S39" s="20"/>
      <c r="T39" s="20"/>
      <c r="U39" s="20"/>
      <c r="V39" s="20"/>
      <c r="W39" s="20"/>
      <c r="X39" s="20"/>
      <c r="Y39" s="20"/>
      <c r="Z39" s="20"/>
      <c r="AA39" s="20"/>
      <c r="AB39" s="20"/>
      <c r="AC39" s="23"/>
      <c r="AE39" s="27" t="str">
        <f>IF(SUM('Dummy Table'!AM$32:AM$35)&gt;0,IF(ISNA(VLOOKUP(3,'Dummy Table'!AM$32:AN$35,2,FALSE)),"",VLOOKUP(3,'Dummy Table'!AM$32:AN$35,2,FALSE)),"")</f>
        <v/>
      </c>
      <c r="AF39" s="28"/>
      <c r="CZ39" s="14"/>
      <c r="DA39" s="38"/>
      <c r="DB39" s="30"/>
      <c r="DC39" s="14"/>
    </row>
    <row r="40" spans="2:107" s="17" customFormat="1" ht="15" customHeight="1">
      <c r="B40" s="19"/>
      <c r="C40" s="19"/>
      <c r="D40" s="21">
        <v>27</v>
      </c>
      <c r="E40" s="21" t="s">
        <v>2197</v>
      </c>
      <c r="F40" s="31">
        <f t="shared" si="0"/>
        <v>41811.708333333328</v>
      </c>
      <c r="G40" s="32">
        <f>'Countries and Timezone'!R28</f>
        <v>41811.708333333328</v>
      </c>
      <c r="H40" s="33" t="str">
        <f>H24</f>
        <v>Argentína</v>
      </c>
      <c r="I40" s="20"/>
      <c r="J40" s="34">
        <v>1</v>
      </c>
      <c r="K40" s="35" t="s">
        <v>2180</v>
      </c>
      <c r="L40" s="34">
        <v>0</v>
      </c>
      <c r="M40" s="20"/>
      <c r="N40" s="20" t="str">
        <f>H25</f>
        <v>Irán</v>
      </c>
      <c r="O40" s="25"/>
      <c r="P40" s="22"/>
      <c r="Q40" s="20"/>
      <c r="R40" s="20"/>
      <c r="S40" s="20"/>
      <c r="T40" s="20"/>
      <c r="U40" s="20"/>
      <c r="V40" s="20"/>
      <c r="W40" s="20"/>
      <c r="X40" s="20"/>
      <c r="Y40" s="20"/>
      <c r="Z40" s="20"/>
      <c r="AA40" s="20"/>
      <c r="AB40" s="20"/>
      <c r="AC40" s="23"/>
      <c r="AE40" s="27" t="str">
        <f>IF(SUM('Dummy Table'!AM$32:AM$35)&gt;0,IF(ISNA(VLOOKUP(4,'Dummy Table'!AM$32:AN$35,2,FALSE)),"",VLOOKUP(4,'Dummy Table'!AM$32:AN$35,2,FALSE)),"")</f>
        <v/>
      </c>
      <c r="AF40" s="28"/>
      <c r="CZ40" s="14"/>
      <c r="DA40" s="38"/>
      <c r="DB40" s="30"/>
      <c r="DC40" s="14"/>
    </row>
    <row r="41" spans="2:107" s="17" customFormat="1" ht="15" customHeight="1">
      <c r="B41" s="19"/>
      <c r="C41" s="19"/>
      <c r="D41" s="21">
        <v>28</v>
      </c>
      <c r="E41" s="21" t="s">
        <v>2197</v>
      </c>
      <c r="F41" s="31">
        <f t="shared" si="0"/>
        <v>41811.958333333328</v>
      </c>
      <c r="G41" s="32">
        <f>'Countries and Timezone'!R29</f>
        <v>41811.958333333328</v>
      </c>
      <c r="H41" s="33" t="str">
        <f>N25</f>
        <v>Nigéria</v>
      </c>
      <c r="I41" s="20"/>
      <c r="J41" s="34">
        <v>1</v>
      </c>
      <c r="K41" s="35" t="s">
        <v>2180</v>
      </c>
      <c r="L41" s="34">
        <v>0</v>
      </c>
      <c r="M41" s="20"/>
      <c r="N41" s="20" t="str">
        <f>N24</f>
        <v>Bosznia-Hercegovina</v>
      </c>
      <c r="O41" s="25"/>
      <c r="P41" s="22"/>
      <c r="Q41" s="20"/>
      <c r="R41" s="20"/>
      <c r="S41" s="20"/>
      <c r="T41" s="20"/>
      <c r="U41" s="20"/>
      <c r="V41" s="20"/>
      <c r="W41" s="20"/>
      <c r="X41" s="20"/>
      <c r="Y41" s="20"/>
      <c r="Z41" s="20"/>
      <c r="AA41" s="20"/>
      <c r="AB41" s="20"/>
      <c r="AC41" s="23"/>
      <c r="AE41" s="39"/>
      <c r="AF41" s="37"/>
      <c r="CZ41" s="14"/>
      <c r="DA41" s="14"/>
      <c r="DB41" s="30"/>
      <c r="DC41" s="14"/>
    </row>
    <row r="42" spans="2:107" s="17" customFormat="1" ht="15" customHeight="1">
      <c r="B42" s="19"/>
      <c r="C42" s="19"/>
      <c r="D42" s="21">
        <v>29</v>
      </c>
      <c r="E42" s="21" t="s">
        <v>385</v>
      </c>
      <c r="F42" s="31">
        <f t="shared" si="0"/>
        <v>41811.833333333328</v>
      </c>
      <c r="G42" s="32">
        <f>'Countries and Timezone'!R30</f>
        <v>41811.833333333328</v>
      </c>
      <c r="H42" s="33" t="str">
        <f>H26</f>
        <v>Németország</v>
      </c>
      <c r="I42" s="20"/>
      <c r="J42" s="34">
        <v>2</v>
      </c>
      <c r="K42" s="35" t="s">
        <v>2180</v>
      </c>
      <c r="L42" s="34">
        <v>2</v>
      </c>
      <c r="M42" s="20"/>
      <c r="N42" s="20" t="str">
        <f>H27</f>
        <v>Ghána</v>
      </c>
      <c r="O42" s="25"/>
      <c r="P42" s="22"/>
      <c r="Q42" s="20"/>
      <c r="R42" s="20"/>
      <c r="S42" s="20"/>
      <c r="T42" s="20"/>
      <c r="U42" s="20"/>
      <c r="V42" s="20"/>
      <c r="W42" s="20"/>
      <c r="X42" s="20"/>
      <c r="Y42" s="20"/>
      <c r="Z42" s="20"/>
      <c r="AA42" s="20"/>
      <c r="AB42" s="20"/>
      <c r="AC42" s="23"/>
      <c r="AE42" s="27" t="s">
        <v>2199</v>
      </c>
      <c r="AF42" s="28" t="s">
        <v>3322</v>
      </c>
      <c r="CZ42" s="14"/>
      <c r="DA42" s="14"/>
      <c r="DB42" s="30"/>
      <c r="DC42" s="14"/>
    </row>
    <row r="43" spans="2:107" s="17" customFormat="1" ht="15" customHeight="1">
      <c r="B43" s="19"/>
      <c r="C43" s="19"/>
      <c r="D43" s="21">
        <v>30</v>
      </c>
      <c r="E43" s="21" t="s">
        <v>385</v>
      </c>
      <c r="F43" s="31">
        <f t="shared" si="0"/>
        <v>41812.958333333328</v>
      </c>
      <c r="G43" s="32">
        <f>'Countries and Timezone'!R31</f>
        <v>41812.958333333328</v>
      </c>
      <c r="H43" s="33" t="str">
        <f>N27</f>
        <v>Egyesült Államok</v>
      </c>
      <c r="I43" s="20"/>
      <c r="J43" s="34">
        <v>2</v>
      </c>
      <c r="K43" s="35" t="s">
        <v>2180</v>
      </c>
      <c r="L43" s="34">
        <v>2</v>
      </c>
      <c r="M43" s="20"/>
      <c r="N43" s="20" t="str">
        <f>N26</f>
        <v>Portugália</v>
      </c>
      <c r="O43" s="25"/>
      <c r="P43" s="22"/>
      <c r="Q43" s="20"/>
      <c r="R43" s="20"/>
      <c r="S43" s="20"/>
      <c r="T43" s="20"/>
      <c r="U43" s="20"/>
      <c r="V43" s="20"/>
      <c r="W43" s="20"/>
      <c r="X43" s="20"/>
      <c r="Y43" s="20"/>
      <c r="Z43" s="20"/>
      <c r="AA43" s="20"/>
      <c r="AB43" s="20"/>
      <c r="AC43" s="23"/>
      <c r="AE43" s="27" t="str">
        <f>IF(SUM('Dummy Table'!AM$39:AM$42)&gt;0,IF(ISNA(VLOOKUP(1,'Dummy Table'!AM$39:AN$42,2,FALSE)),"",VLOOKUP(1,'Dummy Table'!AM$39:AN$42,2,FALSE)),"")</f>
        <v/>
      </c>
      <c r="AF43" s="28"/>
      <c r="CZ43" s="14"/>
      <c r="DA43" s="14"/>
      <c r="DB43" s="30"/>
      <c r="DC43" s="14"/>
    </row>
    <row r="44" spans="2:107" s="17" customFormat="1" ht="15" customHeight="1">
      <c r="B44" s="19"/>
      <c r="C44" s="19"/>
      <c r="D44" s="21">
        <v>31</v>
      </c>
      <c r="E44" s="21" t="s">
        <v>386</v>
      </c>
      <c r="F44" s="31">
        <f t="shared" si="0"/>
        <v>41812.708333333328</v>
      </c>
      <c r="G44" s="32">
        <f>'Countries and Timezone'!R32</f>
        <v>41812.708333333328</v>
      </c>
      <c r="H44" s="33" t="str">
        <f>H28</f>
        <v>Belgium</v>
      </c>
      <c r="I44" s="20"/>
      <c r="J44" s="34">
        <v>1</v>
      </c>
      <c r="K44" s="35" t="s">
        <v>2180</v>
      </c>
      <c r="L44" s="34">
        <v>0</v>
      </c>
      <c r="M44" s="20"/>
      <c r="N44" s="20" t="str">
        <f>H29</f>
        <v>Oroszország</v>
      </c>
      <c r="O44" s="25"/>
      <c r="P44" s="22"/>
      <c r="Q44" s="20"/>
      <c r="R44" s="20"/>
      <c r="S44" s="20"/>
      <c r="T44" s="20"/>
      <c r="U44" s="20"/>
      <c r="V44" s="20"/>
      <c r="W44" s="20"/>
      <c r="X44" s="20"/>
      <c r="Y44" s="20"/>
      <c r="Z44" s="20"/>
      <c r="AA44" s="20"/>
      <c r="AB44" s="20"/>
      <c r="AC44" s="23"/>
      <c r="AE44" s="27" t="str">
        <f>IF(SUM('Dummy Table'!AM$39:AM$42)&gt;0,IF(ISNA(VLOOKUP(2,'Dummy Table'!AM$39:AN$42,2,FALSE)),"",VLOOKUP(2,'Dummy Table'!AM$39:AN$42,2,FALSE)),"")</f>
        <v/>
      </c>
      <c r="AF44" s="28"/>
      <c r="CZ44" s="14"/>
      <c r="DA44" s="14"/>
      <c r="DB44" s="30"/>
      <c r="DC44" s="14"/>
    </row>
    <row r="45" spans="2:107" s="17" customFormat="1" ht="15" customHeight="1">
      <c r="B45" s="19"/>
      <c r="C45" s="19"/>
      <c r="D45" s="21">
        <v>32</v>
      </c>
      <c r="E45" s="21" t="s">
        <v>386</v>
      </c>
      <c r="F45" s="31">
        <f t="shared" si="0"/>
        <v>41812.833333333328</v>
      </c>
      <c r="G45" s="32">
        <f>'Countries and Timezone'!R33</f>
        <v>41812.833333333328</v>
      </c>
      <c r="H45" s="33" t="str">
        <f>N29</f>
        <v>Dél-Kórea</v>
      </c>
      <c r="I45" s="20"/>
      <c r="J45" s="34">
        <v>2</v>
      </c>
      <c r="K45" s="35" t="s">
        <v>2180</v>
      </c>
      <c r="L45" s="34">
        <v>4</v>
      </c>
      <c r="M45" s="20"/>
      <c r="N45" s="20" t="str">
        <f>N28</f>
        <v>Algéria</v>
      </c>
      <c r="O45" s="25"/>
      <c r="P45" s="22"/>
      <c r="Q45" s="20"/>
      <c r="R45" s="20"/>
      <c r="S45" s="20"/>
      <c r="T45" s="20"/>
      <c r="U45" s="20"/>
      <c r="V45" s="20"/>
      <c r="W45" s="20"/>
      <c r="X45" s="20"/>
      <c r="Y45" s="20"/>
      <c r="Z45" s="20"/>
      <c r="AA45" s="20"/>
      <c r="AB45" s="20"/>
      <c r="AC45" s="23"/>
      <c r="AE45" s="27" t="str">
        <f>IF(SUM('Dummy Table'!AM$39:AM$42)&gt;0,IF(ISNA(VLOOKUP(3,'Dummy Table'!AM$39:AN$42,2,FALSE)),"",VLOOKUP(3,'Dummy Table'!AM$39:AN$42,2,FALSE)),"")</f>
        <v/>
      </c>
      <c r="AF45" s="28"/>
      <c r="CZ45" s="14"/>
      <c r="DA45" s="14"/>
      <c r="DB45" s="30"/>
      <c r="DC45" s="14"/>
    </row>
    <row r="46" spans="2:107" s="17" customFormat="1" ht="15" customHeight="1">
      <c r="B46" s="19"/>
      <c r="C46" s="19"/>
      <c r="D46" s="21">
        <v>33</v>
      </c>
      <c r="E46" s="21" t="s">
        <v>2198</v>
      </c>
      <c r="F46" s="31">
        <f t="shared" si="0"/>
        <v>41813.875</v>
      </c>
      <c r="G46" s="32">
        <f>'Countries and Timezone'!R34</f>
        <v>41813.875</v>
      </c>
      <c r="H46" s="33" t="str">
        <f>N15</f>
        <v>Kamerun</v>
      </c>
      <c r="I46" s="20"/>
      <c r="J46" s="34">
        <v>1</v>
      </c>
      <c r="K46" s="35" t="s">
        <v>2180</v>
      </c>
      <c r="L46" s="34">
        <v>4</v>
      </c>
      <c r="M46" s="20"/>
      <c r="N46" s="20" t="str">
        <f t="shared" ref="N46:N61" si="1">H14</f>
        <v>Brazília</v>
      </c>
      <c r="O46" s="25"/>
      <c r="P46" s="22"/>
      <c r="Q46" s="20"/>
      <c r="R46" s="20"/>
      <c r="S46" s="20"/>
      <c r="T46" s="20"/>
      <c r="U46" s="20"/>
      <c r="V46" s="20"/>
      <c r="W46" s="20"/>
      <c r="X46" s="20"/>
      <c r="Y46" s="20"/>
      <c r="Z46" s="20"/>
      <c r="AA46" s="20"/>
      <c r="AB46" s="20"/>
      <c r="AC46" s="23"/>
      <c r="AE46" s="27" t="str">
        <f>IF(SUM('Dummy Table'!AM$39:AM$42)&gt;0,IF(ISNA(VLOOKUP(4,'Dummy Table'!AM$39:AN$42,2,FALSE)),"",VLOOKUP(4,'Dummy Table'!AM$39:AN$42,2,FALSE)),"")</f>
        <v/>
      </c>
      <c r="AF46" s="28"/>
      <c r="CZ46" s="14"/>
      <c r="DA46" s="14"/>
      <c r="DB46" s="30"/>
      <c r="DC46" s="14"/>
    </row>
    <row r="47" spans="2:107" s="17" customFormat="1" ht="15" customHeight="1">
      <c r="B47" s="19"/>
      <c r="C47" s="19"/>
      <c r="D47" s="21">
        <v>34</v>
      </c>
      <c r="E47" s="21" t="s">
        <v>2198</v>
      </c>
      <c r="F47" s="31">
        <f t="shared" si="0"/>
        <v>41813.875</v>
      </c>
      <c r="G47" s="32">
        <f>'Countries and Timezone'!R35</f>
        <v>41813.875</v>
      </c>
      <c r="H47" s="33" t="str">
        <f>N14</f>
        <v>Horvátország</v>
      </c>
      <c r="I47" s="20"/>
      <c r="J47" s="34">
        <v>1</v>
      </c>
      <c r="K47" s="35" t="s">
        <v>2180</v>
      </c>
      <c r="L47" s="34">
        <v>3</v>
      </c>
      <c r="M47" s="20"/>
      <c r="N47" s="20" t="str">
        <f t="shared" si="1"/>
        <v>Mexikó</v>
      </c>
      <c r="O47" s="25"/>
      <c r="P47" s="22"/>
      <c r="Q47" s="20"/>
      <c r="R47" s="20"/>
      <c r="S47" s="20"/>
      <c r="T47" s="20"/>
      <c r="U47" s="20"/>
      <c r="V47" s="20"/>
      <c r="W47" s="20"/>
      <c r="X47" s="20"/>
      <c r="Y47" s="20"/>
      <c r="Z47" s="20"/>
      <c r="AA47" s="20"/>
      <c r="AB47" s="20"/>
      <c r="AC47" s="23"/>
      <c r="AE47" s="39"/>
      <c r="AF47" s="37"/>
      <c r="CZ47" s="14"/>
      <c r="DA47" s="14"/>
      <c r="DB47" s="30"/>
      <c r="DC47" s="14"/>
    </row>
    <row r="48" spans="2:107" s="17" customFormat="1" ht="15" customHeight="1">
      <c r="B48" s="19"/>
      <c r="C48" s="19"/>
      <c r="D48" s="21">
        <v>35</v>
      </c>
      <c r="E48" s="21" t="s">
        <v>382</v>
      </c>
      <c r="F48" s="31">
        <f t="shared" si="0"/>
        <v>41813.708333333328</v>
      </c>
      <c r="G48" s="32">
        <f>'Countries and Timezone'!R36</f>
        <v>41813.708333333328</v>
      </c>
      <c r="H48" s="33" t="str">
        <f>N17</f>
        <v>Ausztrália</v>
      </c>
      <c r="I48" s="20"/>
      <c r="J48" s="34">
        <v>0</v>
      </c>
      <c r="K48" s="35" t="s">
        <v>2180</v>
      </c>
      <c r="L48" s="34">
        <v>3</v>
      </c>
      <c r="M48" s="20"/>
      <c r="N48" s="20" t="str">
        <f t="shared" si="1"/>
        <v>Spanyolország</v>
      </c>
      <c r="O48" s="25"/>
      <c r="P48" s="22"/>
      <c r="Q48" s="20"/>
      <c r="R48" s="20"/>
      <c r="S48" s="20"/>
      <c r="T48" s="20"/>
      <c r="U48" s="20"/>
      <c r="V48" s="20"/>
      <c r="W48" s="20"/>
      <c r="X48" s="20"/>
      <c r="Y48" s="20"/>
      <c r="Z48" s="20"/>
      <c r="AA48" s="20"/>
      <c r="AB48" s="20"/>
      <c r="AC48" s="23"/>
      <c r="AE48" s="27" t="s">
        <v>2199</v>
      </c>
      <c r="AF48" s="28" t="s">
        <v>3322</v>
      </c>
      <c r="CZ48" s="14"/>
      <c r="DA48" s="14"/>
      <c r="DB48" s="30"/>
      <c r="DC48" s="14"/>
    </row>
    <row r="49" spans="2:107" s="17" customFormat="1" ht="15" customHeight="1">
      <c r="B49" s="19"/>
      <c r="C49" s="19"/>
      <c r="D49" s="21">
        <v>36</v>
      </c>
      <c r="E49" s="21" t="s">
        <v>382</v>
      </c>
      <c r="F49" s="31">
        <f t="shared" si="0"/>
        <v>41813.708333333328</v>
      </c>
      <c r="G49" s="32">
        <f>'Countries and Timezone'!R37</f>
        <v>41813.708333333328</v>
      </c>
      <c r="H49" s="33" t="str">
        <f>N16</f>
        <v>Hollandia</v>
      </c>
      <c r="I49" s="20"/>
      <c r="J49" s="34">
        <v>2</v>
      </c>
      <c r="K49" s="35" t="s">
        <v>2180</v>
      </c>
      <c r="L49" s="34">
        <v>0</v>
      </c>
      <c r="M49" s="20"/>
      <c r="N49" s="20" t="str">
        <f t="shared" si="1"/>
        <v>Chile</v>
      </c>
      <c r="O49" s="25"/>
      <c r="P49" s="22"/>
      <c r="Q49" s="20"/>
      <c r="R49" s="20"/>
      <c r="S49" s="20"/>
      <c r="T49" s="20"/>
      <c r="U49" s="20"/>
      <c r="V49" s="20"/>
      <c r="W49" s="20"/>
      <c r="X49" s="20"/>
      <c r="Y49" s="20"/>
      <c r="Z49" s="20"/>
      <c r="AA49" s="20"/>
      <c r="AB49" s="20"/>
      <c r="AC49" s="23"/>
      <c r="AE49" s="27" t="str">
        <f>IF(SUM('Dummy Table'!AM$46:AM$49)&gt;0,IF(ISNA(VLOOKUP(1,'Dummy Table'!AM$46:AN$49,2,FALSE)),"",VLOOKUP(1,'Dummy Table'!AM$46:AN$49,2,FALSE)),"")</f>
        <v/>
      </c>
      <c r="AF49" s="28"/>
      <c r="CZ49" s="14"/>
      <c r="DA49" s="14"/>
      <c r="DB49" s="30"/>
      <c r="DC49" s="14"/>
    </row>
    <row r="50" spans="2:107" s="17" customFormat="1" ht="15" customHeight="1">
      <c r="B50" s="19"/>
      <c r="C50" s="19"/>
      <c r="D50" s="21">
        <v>37</v>
      </c>
      <c r="E50" s="21" t="s">
        <v>383</v>
      </c>
      <c r="F50" s="31">
        <f t="shared" si="0"/>
        <v>41814.875</v>
      </c>
      <c r="G50" s="32">
        <f>'Countries and Timezone'!R38</f>
        <v>41814.875</v>
      </c>
      <c r="H50" s="33" t="str">
        <f>N19</f>
        <v>Japán</v>
      </c>
      <c r="I50" s="20"/>
      <c r="J50" s="34">
        <v>1</v>
      </c>
      <c r="K50" s="35" t="s">
        <v>2180</v>
      </c>
      <c r="L50" s="34">
        <v>4</v>
      </c>
      <c r="M50" s="20"/>
      <c r="N50" s="20" t="str">
        <f t="shared" si="1"/>
        <v>Colombia</v>
      </c>
      <c r="O50" s="25"/>
      <c r="P50" s="22"/>
      <c r="Q50" s="20"/>
      <c r="R50" s="20"/>
      <c r="S50" s="20"/>
      <c r="T50" s="20"/>
      <c r="U50" s="20"/>
      <c r="V50" s="20"/>
      <c r="W50" s="20"/>
      <c r="X50" s="20"/>
      <c r="Y50" s="20"/>
      <c r="Z50" s="20"/>
      <c r="AA50" s="20"/>
      <c r="AB50" s="20"/>
      <c r="AC50" s="23"/>
      <c r="AE50" s="27" t="str">
        <f>IF(SUM('Dummy Table'!AM$46:AM$49)&gt;0,IF(ISNA(VLOOKUP(2,'Dummy Table'!AM$46:AN$49,2,FALSE)),"",VLOOKUP(2,'Dummy Table'!AM$46:AN$49,2,FALSE)),"")</f>
        <v/>
      </c>
      <c r="AF50" s="28"/>
      <c r="CZ50" s="14"/>
      <c r="DA50" s="14"/>
      <c r="DB50" s="30"/>
      <c r="DC50" s="14"/>
    </row>
    <row r="51" spans="2:107" s="17" customFormat="1" ht="15" customHeight="1">
      <c r="B51" s="19"/>
      <c r="C51" s="19"/>
      <c r="D51" s="21">
        <v>38</v>
      </c>
      <c r="E51" s="21" t="s">
        <v>383</v>
      </c>
      <c r="F51" s="31">
        <f t="shared" si="0"/>
        <v>41814.875</v>
      </c>
      <c r="G51" s="32">
        <f>'Countries and Timezone'!R39</f>
        <v>41814.875</v>
      </c>
      <c r="H51" s="33" t="str">
        <f>N18</f>
        <v>Görögország</v>
      </c>
      <c r="I51" s="20"/>
      <c r="J51" s="34">
        <v>2</v>
      </c>
      <c r="K51" s="35" t="s">
        <v>2180</v>
      </c>
      <c r="L51" s="34">
        <v>1</v>
      </c>
      <c r="M51" s="20"/>
      <c r="N51" s="20" t="str">
        <f t="shared" si="1"/>
        <v>Elefántcsontpart</v>
      </c>
      <c r="O51" s="25"/>
      <c r="P51" s="22"/>
      <c r="Q51" s="20"/>
      <c r="R51" s="20"/>
      <c r="S51" s="20"/>
      <c r="T51" s="20"/>
      <c r="U51" s="20"/>
      <c r="V51" s="20"/>
      <c r="W51" s="20"/>
      <c r="X51" s="20"/>
      <c r="Y51" s="20"/>
      <c r="Z51" s="20"/>
      <c r="AA51" s="20"/>
      <c r="AB51" s="20"/>
      <c r="AC51" s="23"/>
      <c r="AE51" s="27" t="str">
        <f>IF(SUM('Dummy Table'!AM$46:AM$49)&gt;0,IF(ISNA(VLOOKUP(3,'Dummy Table'!AM$46:AN$49,2,FALSE)),"",VLOOKUP(3,'Dummy Table'!AM$46:AN$49,2,FALSE)),"")</f>
        <v/>
      </c>
      <c r="AF51" s="28"/>
      <c r="CZ51" s="14"/>
      <c r="DA51" s="14"/>
      <c r="DB51" s="30"/>
      <c r="DC51" s="14"/>
    </row>
    <row r="52" spans="2:107" s="17" customFormat="1" ht="15" customHeight="1">
      <c r="B52" s="19"/>
      <c r="C52" s="19"/>
      <c r="D52" s="21">
        <v>39</v>
      </c>
      <c r="E52" s="21" t="s">
        <v>2191</v>
      </c>
      <c r="F52" s="31">
        <f t="shared" si="0"/>
        <v>41814.708333333328</v>
      </c>
      <c r="G52" s="32">
        <f>'Countries and Timezone'!R40</f>
        <v>41814.708333333328</v>
      </c>
      <c r="H52" s="33" t="str">
        <f>N21</f>
        <v>Olaszország</v>
      </c>
      <c r="I52" s="20"/>
      <c r="J52" s="34">
        <v>0</v>
      </c>
      <c r="K52" s="35" t="s">
        <v>2180</v>
      </c>
      <c r="L52" s="34">
        <v>1</v>
      </c>
      <c r="M52" s="20"/>
      <c r="N52" s="20" t="str">
        <f t="shared" si="1"/>
        <v>Uruguaj</v>
      </c>
      <c r="O52" s="25"/>
      <c r="P52" s="22"/>
      <c r="Q52" s="20"/>
      <c r="R52" s="20"/>
      <c r="S52" s="20"/>
      <c r="T52" s="20"/>
      <c r="U52" s="20"/>
      <c r="V52" s="20"/>
      <c r="W52" s="20"/>
      <c r="X52" s="20"/>
      <c r="Y52" s="20"/>
      <c r="Z52" s="20"/>
      <c r="AA52" s="20"/>
      <c r="AB52" s="20"/>
      <c r="AC52" s="23"/>
      <c r="AE52" s="27" t="str">
        <f>IF(SUM('Dummy Table'!AM$46:AM$49)&gt;0,IF(ISNA(VLOOKUP(4,'Dummy Table'!AM$46:AN$49,2,FALSE)),"",VLOOKUP(4,'Dummy Table'!AM$46:AN$49,2,FALSE)),"")</f>
        <v/>
      </c>
      <c r="AF52" s="28"/>
      <c r="CZ52" s="14"/>
      <c r="DA52" s="14"/>
      <c r="DB52" s="30"/>
      <c r="DC52" s="14"/>
    </row>
    <row r="53" spans="2:107" s="17" customFormat="1" ht="15" customHeight="1">
      <c r="B53" s="19"/>
      <c r="C53" s="19"/>
      <c r="D53" s="21">
        <v>40</v>
      </c>
      <c r="E53" s="21" t="s">
        <v>2191</v>
      </c>
      <c r="F53" s="31">
        <f t="shared" si="0"/>
        <v>41814.708333333328</v>
      </c>
      <c r="G53" s="32">
        <f>'Countries and Timezone'!R41</f>
        <v>41814.708333333328</v>
      </c>
      <c r="H53" s="33" t="str">
        <f>N20</f>
        <v>Costa Rica</v>
      </c>
      <c r="I53" s="20"/>
      <c r="J53" s="34">
        <v>0</v>
      </c>
      <c r="K53" s="35" t="s">
        <v>2180</v>
      </c>
      <c r="L53" s="34">
        <v>0</v>
      </c>
      <c r="M53" s="20"/>
      <c r="N53" s="20" t="str">
        <f t="shared" si="1"/>
        <v>Anglia</v>
      </c>
      <c r="O53" s="25"/>
      <c r="P53" s="22"/>
      <c r="Q53" s="20"/>
      <c r="R53" s="20"/>
      <c r="S53" s="20"/>
      <c r="T53" s="20"/>
      <c r="U53" s="20"/>
      <c r="V53" s="20"/>
      <c r="W53" s="20"/>
      <c r="X53" s="20"/>
      <c r="Y53" s="20"/>
      <c r="Z53" s="20"/>
      <c r="AA53" s="20"/>
      <c r="AB53" s="20"/>
      <c r="AC53" s="23"/>
      <c r="AE53" s="39"/>
      <c r="AF53" s="37"/>
      <c r="CZ53" s="14"/>
      <c r="DA53" s="14"/>
      <c r="DB53" s="30"/>
      <c r="DC53" s="14"/>
    </row>
    <row r="54" spans="2:107" s="17" customFormat="1" ht="15" customHeight="1">
      <c r="B54" s="19"/>
      <c r="C54" s="19"/>
      <c r="D54" s="21">
        <v>41</v>
      </c>
      <c r="E54" s="21" t="s">
        <v>384</v>
      </c>
      <c r="F54" s="31">
        <f t="shared" si="0"/>
        <v>41815.875</v>
      </c>
      <c r="G54" s="32">
        <f>'Countries and Timezone'!R42</f>
        <v>41815.875</v>
      </c>
      <c r="H54" s="33" t="str">
        <f>N23</f>
        <v>Hondurasz</v>
      </c>
      <c r="I54" s="20"/>
      <c r="J54" s="34">
        <v>0</v>
      </c>
      <c r="K54" s="35" t="s">
        <v>2180</v>
      </c>
      <c r="L54" s="34">
        <v>3</v>
      </c>
      <c r="M54" s="20"/>
      <c r="N54" s="20" t="str">
        <f t="shared" si="1"/>
        <v>Svájc</v>
      </c>
      <c r="O54" s="25"/>
      <c r="P54" s="22"/>
      <c r="Q54" s="20"/>
      <c r="R54" s="20"/>
      <c r="S54" s="20"/>
      <c r="T54" s="20"/>
      <c r="U54" s="20"/>
      <c r="V54" s="20"/>
      <c r="W54" s="20"/>
      <c r="X54" s="20"/>
      <c r="Y54" s="20"/>
      <c r="Z54" s="20"/>
      <c r="AA54" s="20"/>
      <c r="AB54" s="20"/>
      <c r="AC54" s="23"/>
      <c r="AE54" s="27" t="s">
        <v>2199</v>
      </c>
      <c r="AF54" s="28" t="s">
        <v>3322</v>
      </c>
      <c r="CZ54" s="14"/>
      <c r="DA54" s="14"/>
      <c r="DB54" s="30"/>
      <c r="DC54" s="14"/>
    </row>
    <row r="55" spans="2:107" s="17" customFormat="1" ht="15" customHeight="1">
      <c r="B55" s="19"/>
      <c r="C55" s="19"/>
      <c r="D55" s="21">
        <v>42</v>
      </c>
      <c r="E55" s="21" t="s">
        <v>384</v>
      </c>
      <c r="F55" s="31">
        <f t="shared" si="0"/>
        <v>41815.875</v>
      </c>
      <c r="G55" s="32">
        <f>'Countries and Timezone'!R43</f>
        <v>41815.875</v>
      </c>
      <c r="H55" s="33" t="str">
        <f>N22</f>
        <v>Ecuador</v>
      </c>
      <c r="I55" s="20"/>
      <c r="J55" s="34">
        <v>0</v>
      </c>
      <c r="K55" s="35" t="s">
        <v>2180</v>
      </c>
      <c r="L55" s="34">
        <v>0</v>
      </c>
      <c r="M55" s="20"/>
      <c r="N55" s="20" t="str">
        <f t="shared" si="1"/>
        <v>Franciaország</v>
      </c>
      <c r="O55" s="25"/>
      <c r="P55" s="22"/>
      <c r="Q55" s="20"/>
      <c r="R55" s="20"/>
      <c r="S55" s="20"/>
      <c r="T55" s="20"/>
      <c r="U55" s="20"/>
      <c r="V55" s="20"/>
      <c r="W55" s="20"/>
      <c r="X55" s="20"/>
      <c r="Y55" s="20"/>
      <c r="Z55" s="20"/>
      <c r="AA55" s="20"/>
      <c r="AB55" s="20"/>
      <c r="AC55" s="23"/>
      <c r="AE55" s="27" t="str">
        <f>IF(SUM('Dummy Table'!AM$53:AM$56)&gt;0,IF(ISNA(VLOOKUP(1,'Dummy Table'!AM$53:AN$56,2,FALSE)),"",VLOOKUP(1,'Dummy Table'!AM$53:AN$56,2,FALSE)),"")</f>
        <v/>
      </c>
      <c r="AF55" s="28"/>
      <c r="CZ55" s="14"/>
      <c r="DA55" s="14"/>
      <c r="DB55" s="30"/>
      <c r="DC55" s="14"/>
    </row>
    <row r="56" spans="2:107" s="17" customFormat="1" ht="15" customHeight="1">
      <c r="B56" s="19"/>
      <c r="C56" s="19"/>
      <c r="D56" s="21">
        <v>43</v>
      </c>
      <c r="E56" s="21" t="s">
        <v>2197</v>
      </c>
      <c r="F56" s="31">
        <f t="shared" si="0"/>
        <v>41815.708333333328</v>
      </c>
      <c r="G56" s="32">
        <f>'Countries and Timezone'!R44</f>
        <v>41815.708333333328</v>
      </c>
      <c r="H56" s="33" t="str">
        <f>N25</f>
        <v>Nigéria</v>
      </c>
      <c r="I56" s="20"/>
      <c r="J56" s="34">
        <v>2</v>
      </c>
      <c r="K56" s="35" t="s">
        <v>2180</v>
      </c>
      <c r="L56" s="34">
        <v>3</v>
      </c>
      <c r="M56" s="20"/>
      <c r="N56" s="20" t="str">
        <f t="shared" si="1"/>
        <v>Argentína</v>
      </c>
      <c r="O56" s="25"/>
      <c r="P56" s="22"/>
      <c r="Q56" s="20"/>
      <c r="R56" s="20"/>
      <c r="S56" s="20"/>
      <c r="T56" s="20"/>
      <c r="U56" s="20"/>
      <c r="V56" s="20"/>
      <c r="W56" s="20"/>
      <c r="X56" s="20"/>
      <c r="Y56" s="20"/>
      <c r="Z56" s="20"/>
      <c r="AA56" s="20"/>
      <c r="AB56" s="20"/>
      <c r="AC56" s="23"/>
      <c r="AE56" s="27" t="str">
        <f>IF(SUM('Dummy Table'!AM$53:AM$56)&gt;0,IF(ISNA(VLOOKUP(2,'Dummy Table'!AM$53:AN$56,2,FALSE)),"",VLOOKUP(2,'Dummy Table'!AM$53:AN$56,2,FALSE)),"")</f>
        <v/>
      </c>
      <c r="AF56" s="28"/>
      <c r="CZ56" s="14"/>
      <c r="DA56" s="14"/>
      <c r="DB56" s="30"/>
      <c r="DC56" s="14"/>
    </row>
    <row r="57" spans="2:107" s="17" customFormat="1" ht="15" customHeight="1">
      <c r="B57" s="19"/>
      <c r="C57" s="19"/>
      <c r="D57" s="21">
        <v>44</v>
      </c>
      <c r="E57" s="21" t="s">
        <v>2197</v>
      </c>
      <c r="F57" s="31">
        <f t="shared" si="0"/>
        <v>41815.708333333328</v>
      </c>
      <c r="G57" s="32">
        <f>'Countries and Timezone'!R45</f>
        <v>41815.708333333328</v>
      </c>
      <c r="H57" s="33" t="str">
        <f>N24</f>
        <v>Bosznia-Hercegovina</v>
      </c>
      <c r="I57" s="20"/>
      <c r="J57" s="34">
        <v>3</v>
      </c>
      <c r="K57" s="35" t="s">
        <v>2180</v>
      </c>
      <c r="L57" s="34">
        <v>1</v>
      </c>
      <c r="M57" s="20"/>
      <c r="N57" s="20" t="str">
        <f t="shared" si="1"/>
        <v>Irán</v>
      </c>
      <c r="O57" s="25"/>
      <c r="P57" s="22"/>
      <c r="Q57" s="20"/>
      <c r="R57" s="20"/>
      <c r="S57" s="20"/>
      <c r="T57" s="20"/>
      <c r="U57" s="20"/>
      <c r="V57" s="20"/>
      <c r="W57" s="20"/>
      <c r="X57" s="20"/>
      <c r="Y57" s="20"/>
      <c r="Z57" s="20"/>
      <c r="AA57" s="20"/>
      <c r="AB57" s="20"/>
      <c r="AC57" s="23"/>
      <c r="AE57" s="27" t="str">
        <f>IF(SUM('Dummy Table'!AM$53:AM$56)&gt;0,IF(ISNA(VLOOKUP(3,'Dummy Table'!AM$53:AN$56,2,FALSE)),"",VLOOKUP(3,'Dummy Table'!AM$53:AN$56,2,FALSE)),"")</f>
        <v/>
      </c>
      <c r="AF57" s="28"/>
      <c r="CZ57" s="14"/>
      <c r="DA57" s="14"/>
      <c r="DB57" s="30"/>
      <c r="DC57" s="14"/>
    </row>
    <row r="58" spans="2:107" s="17" customFormat="1" ht="15" customHeight="1">
      <c r="B58" s="19"/>
      <c r="C58" s="19"/>
      <c r="D58" s="21">
        <v>45</v>
      </c>
      <c r="E58" s="21" t="s">
        <v>385</v>
      </c>
      <c r="F58" s="31">
        <f t="shared" si="0"/>
        <v>41816.708333333328</v>
      </c>
      <c r="G58" s="32">
        <f>'Countries and Timezone'!R46</f>
        <v>41816.708333333328</v>
      </c>
      <c r="H58" s="33" t="str">
        <f>N27</f>
        <v>Egyesült Államok</v>
      </c>
      <c r="I58" s="20"/>
      <c r="J58" s="34">
        <v>0</v>
      </c>
      <c r="K58" s="35" t="s">
        <v>2180</v>
      </c>
      <c r="L58" s="34">
        <v>1</v>
      </c>
      <c r="M58" s="20"/>
      <c r="N58" s="20" t="str">
        <f t="shared" si="1"/>
        <v>Németország</v>
      </c>
      <c r="O58" s="25"/>
      <c r="P58" s="22"/>
      <c r="Q58" s="20"/>
      <c r="R58" s="20"/>
      <c r="S58" s="20"/>
      <c r="T58" s="20"/>
      <c r="U58" s="20"/>
      <c r="V58" s="20"/>
      <c r="W58" s="20"/>
      <c r="X58" s="20"/>
      <c r="Y58" s="20"/>
      <c r="Z58" s="20"/>
      <c r="AA58" s="20"/>
      <c r="AB58" s="20"/>
      <c r="AC58" s="23"/>
      <c r="AE58" s="27" t="str">
        <f>IF(SUM('Dummy Table'!AM$53:AM$56)&gt;0,IF(ISNA(VLOOKUP(4,'Dummy Table'!AM$53:AN$56,2,FALSE)),"",VLOOKUP(4,'Dummy Table'!AM$53:AN$56,2,FALSE)),"")</f>
        <v/>
      </c>
      <c r="AF58" s="28"/>
      <c r="CZ58" s="14"/>
      <c r="DA58" s="14"/>
      <c r="DB58" s="30"/>
      <c r="DC58" s="14"/>
    </row>
    <row r="59" spans="2:107" s="17" customFormat="1" ht="15" customHeight="1">
      <c r="B59" s="19"/>
      <c r="C59" s="19"/>
      <c r="D59" s="21">
        <v>46</v>
      </c>
      <c r="E59" s="21" t="s">
        <v>385</v>
      </c>
      <c r="F59" s="31">
        <f t="shared" si="0"/>
        <v>41816.708333333328</v>
      </c>
      <c r="G59" s="32">
        <f>'Countries and Timezone'!R47</f>
        <v>41816.708333333328</v>
      </c>
      <c r="H59" s="33" t="str">
        <f>N26</f>
        <v>Portugália</v>
      </c>
      <c r="I59" s="20"/>
      <c r="J59" s="34">
        <v>2</v>
      </c>
      <c r="K59" s="35" t="s">
        <v>2180</v>
      </c>
      <c r="L59" s="34">
        <v>1</v>
      </c>
      <c r="M59" s="20"/>
      <c r="N59" s="20" t="str">
        <f t="shared" si="1"/>
        <v>Ghána</v>
      </c>
      <c r="O59" s="25"/>
      <c r="P59" s="22"/>
      <c r="Q59" s="20"/>
      <c r="R59" s="20"/>
      <c r="S59" s="20"/>
      <c r="T59" s="20"/>
      <c r="U59" s="20"/>
      <c r="V59" s="20"/>
      <c r="W59" s="20"/>
      <c r="X59" s="20"/>
      <c r="Y59" s="20"/>
      <c r="Z59" s="20"/>
      <c r="AA59" s="20"/>
      <c r="AB59" s="20"/>
      <c r="AC59" s="23"/>
      <c r="AE59" s="15"/>
      <c r="AF59" s="16"/>
      <c r="CZ59" s="14"/>
      <c r="DA59" s="14"/>
      <c r="DB59" s="30"/>
      <c r="DC59" s="14"/>
    </row>
    <row r="60" spans="2:107" s="17" customFormat="1" ht="15" customHeight="1">
      <c r="B60" s="19"/>
      <c r="C60" s="19"/>
      <c r="D60" s="21">
        <v>47</v>
      </c>
      <c r="E60" s="21" t="s">
        <v>386</v>
      </c>
      <c r="F60" s="31">
        <f t="shared" si="0"/>
        <v>41816.875</v>
      </c>
      <c r="G60" s="32">
        <f>'Countries and Timezone'!R48</f>
        <v>41816.875</v>
      </c>
      <c r="H60" s="33" t="str">
        <f>N29</f>
        <v>Dél-Kórea</v>
      </c>
      <c r="I60" s="20"/>
      <c r="J60" s="34">
        <v>0</v>
      </c>
      <c r="K60" s="35" t="s">
        <v>2180</v>
      </c>
      <c r="L60" s="34">
        <v>1</v>
      </c>
      <c r="M60" s="20"/>
      <c r="N60" s="20" t="str">
        <f t="shared" si="1"/>
        <v>Belgium</v>
      </c>
      <c r="O60" s="25"/>
      <c r="P60" s="22"/>
      <c r="Q60" s="20"/>
      <c r="R60" s="40"/>
      <c r="S60" s="41" t="s">
        <v>1575</v>
      </c>
      <c r="T60" s="42" t="str">
        <f>INDEX(Language!$A$1:$AX$115,MATCH("Played",Language!$B$1:$B$115,0),MATCH($G$2,Language!$A$1:$AW$1,0))</f>
        <v>Játszott</v>
      </c>
      <c r="U60" s="41" t="s">
        <v>1578</v>
      </c>
      <c r="V60" s="42" t="str">
        <f>INDEX(Language!$A$1:$AX$115,MATCH("Lose",Language!$B$1:$B$115,0),MATCH($G$2,Language!$A$1:$AW$1,0))</f>
        <v>Vesztett</v>
      </c>
      <c r="W60" s="42"/>
      <c r="X60" s="42" t="s">
        <v>1581</v>
      </c>
      <c r="Y60" s="42" t="str">
        <f>INDEX(Language!$A$1:$AX$115,MATCH("Point",Language!$B$1:$B$115,0),MATCH($G$2,Language!$A$1:$AW$1,0))</f>
        <v>Pont</v>
      </c>
      <c r="Z60" s="42"/>
      <c r="AA60" s="42"/>
      <c r="AB60" s="43"/>
      <c r="AC60" s="23"/>
      <c r="AE60" s="15"/>
      <c r="AF60" s="16"/>
      <c r="CZ60" s="14"/>
      <c r="DA60" s="14"/>
      <c r="DB60" s="30"/>
      <c r="DC60" s="14"/>
    </row>
    <row r="61" spans="2:107" s="17" customFormat="1" ht="15" customHeight="1">
      <c r="B61" s="19"/>
      <c r="C61" s="19"/>
      <c r="D61" s="21">
        <v>48</v>
      </c>
      <c r="E61" s="21" t="s">
        <v>386</v>
      </c>
      <c r="F61" s="31">
        <f t="shared" si="0"/>
        <v>41816.875</v>
      </c>
      <c r="G61" s="32">
        <f>'Countries and Timezone'!R49</f>
        <v>41816.875</v>
      </c>
      <c r="H61" s="33" t="str">
        <f>N28</f>
        <v>Algéria</v>
      </c>
      <c r="I61" s="20"/>
      <c r="J61" s="34">
        <v>1</v>
      </c>
      <c r="K61" s="35" t="s">
        <v>2180</v>
      </c>
      <c r="L61" s="34">
        <v>1</v>
      </c>
      <c r="M61" s="20"/>
      <c r="N61" s="20" t="str">
        <f t="shared" si="1"/>
        <v>Oroszország</v>
      </c>
      <c r="O61" s="25"/>
      <c r="P61" s="22"/>
      <c r="Q61" s="20"/>
      <c r="R61" s="40"/>
      <c r="S61" s="41" t="s">
        <v>1576</v>
      </c>
      <c r="T61" s="42" t="str">
        <f>INDEX(Language!$A$1:$AX$115,MATCH("Win",Language!$B$1:$B$115,0),MATCH($G$2,Language!$A$1:$AW$1,0))</f>
        <v>Nyert</v>
      </c>
      <c r="U61" s="41" t="s">
        <v>1579</v>
      </c>
      <c r="V61" s="42" t="str">
        <f>INDEX(Language!$A$1:$AX$115,MATCH("Goal scored for",Language!$B$1:$B$115,0),MATCH($G$2,Language!$A$1:$AW$1,0))</f>
        <v>Lőtt gólok</v>
      </c>
      <c r="W61" s="42"/>
      <c r="X61" s="42"/>
      <c r="Y61" s="42"/>
      <c r="Z61" s="42"/>
      <c r="AA61" s="42"/>
      <c r="AB61" s="43"/>
      <c r="AC61" s="23"/>
      <c r="AE61" s="15"/>
      <c r="AF61" s="16"/>
      <c r="CZ61" s="14"/>
      <c r="DA61" s="14"/>
      <c r="DB61" s="30"/>
      <c r="DC61" s="14"/>
    </row>
    <row r="62" spans="2:107" s="17" customFormat="1" ht="15" customHeight="1">
      <c r="B62" s="19"/>
      <c r="C62" s="44"/>
      <c r="D62" s="45"/>
      <c r="E62" s="45"/>
      <c r="F62" s="45"/>
      <c r="G62" s="45"/>
      <c r="H62" s="45"/>
      <c r="I62" s="45"/>
      <c r="J62" s="45"/>
      <c r="K62" s="46"/>
      <c r="L62" s="45"/>
      <c r="M62" s="45"/>
      <c r="N62" s="45"/>
      <c r="O62" s="47"/>
      <c r="P62" s="22"/>
      <c r="Q62" s="20"/>
      <c r="R62" s="48"/>
      <c r="S62" s="49" t="s">
        <v>1577</v>
      </c>
      <c r="T62" s="50" t="str">
        <f>INDEX(Language!$A$1:$AX$115,MATCH("Draw",Language!$B$1:$B$115,0),MATCH($G$2,Language!$A$1:$AW$1,0))</f>
        <v>Döntetlen</v>
      </c>
      <c r="U62" s="49" t="s">
        <v>1580</v>
      </c>
      <c r="V62" s="50" t="str">
        <f>INDEX(Language!$A$1:$AX$115,MATCH("Goal scored against",Language!$B$1:$B$115,0),MATCH($G$2,Language!$A$1:$AW$1,0))</f>
        <v>Kapott gólok</v>
      </c>
      <c r="W62" s="50"/>
      <c r="X62" s="50"/>
      <c r="Y62" s="50"/>
      <c r="Z62" s="50"/>
      <c r="AA62" s="50"/>
      <c r="AB62" s="51"/>
      <c r="AC62" s="23"/>
      <c r="AE62" s="15"/>
      <c r="AF62" s="16"/>
      <c r="CZ62" s="14"/>
      <c r="DA62" s="14"/>
      <c r="DB62" s="30"/>
      <c r="DC62" s="14"/>
    </row>
    <row r="63" spans="2:107" s="17" customFormat="1" ht="15" customHeight="1">
      <c r="B63" s="44"/>
      <c r="C63" s="45"/>
      <c r="D63" s="45"/>
      <c r="E63" s="45"/>
      <c r="F63" s="45"/>
      <c r="G63" s="45"/>
      <c r="H63" s="45"/>
      <c r="I63" s="45"/>
      <c r="J63" s="45"/>
      <c r="K63" s="46"/>
      <c r="L63" s="45"/>
      <c r="M63" s="45"/>
      <c r="N63" s="45"/>
      <c r="O63" s="45"/>
      <c r="P63" s="45"/>
      <c r="Q63" s="45"/>
      <c r="R63" s="45"/>
      <c r="S63" s="45"/>
      <c r="T63" s="45"/>
      <c r="U63" s="45"/>
      <c r="V63" s="45"/>
      <c r="W63" s="45"/>
      <c r="X63" s="45"/>
      <c r="Y63" s="45"/>
      <c r="Z63" s="45"/>
      <c r="AA63" s="45"/>
      <c r="AB63" s="45"/>
      <c r="AC63" s="52"/>
      <c r="AE63" s="15"/>
      <c r="AF63" s="16"/>
      <c r="CZ63" s="14"/>
      <c r="DA63" s="14"/>
      <c r="DB63" s="30"/>
      <c r="DC63" s="14"/>
    </row>
    <row r="64" spans="2:107" s="17" customFormat="1" ht="15" customHeight="1">
      <c r="B64" s="53"/>
      <c r="C64" s="20"/>
      <c r="D64" s="20"/>
      <c r="E64" s="20"/>
      <c r="F64" s="20"/>
      <c r="G64" s="20"/>
      <c r="H64" s="20"/>
      <c r="I64" s="20"/>
      <c r="J64" s="20"/>
      <c r="K64" s="21"/>
      <c r="L64" s="20"/>
      <c r="M64" s="20"/>
      <c r="N64" s="20"/>
      <c r="O64" s="20"/>
      <c r="P64" s="20"/>
      <c r="Q64" s="20"/>
      <c r="R64" s="20"/>
      <c r="S64" s="20"/>
      <c r="T64" s="20"/>
      <c r="U64" s="20"/>
      <c r="V64" s="20"/>
      <c r="W64" s="20"/>
      <c r="X64" s="20"/>
      <c r="Y64" s="20"/>
      <c r="Z64" s="20"/>
      <c r="AA64" s="20"/>
      <c r="AB64" s="20"/>
      <c r="AC64" s="23"/>
      <c r="AE64" s="15"/>
      <c r="AF64" s="16"/>
      <c r="CZ64" s="14"/>
      <c r="DA64" s="14"/>
      <c r="DB64" s="30"/>
      <c r="DC64" s="14"/>
    </row>
    <row r="65" spans="2:107" s="17" customFormat="1" ht="15" customHeight="1">
      <c r="B65" s="19"/>
      <c r="C65" s="162" t="str">
        <f>INDEX(Language!$A$1:$AX$115,MATCH("Round of 16",Language!$B$1:$B$115,0),MATCH($G$2,Language!$A$1:$AW$1,0))</f>
        <v>Legjobb 16</v>
      </c>
      <c r="D65" s="163"/>
      <c r="E65" s="163"/>
      <c r="F65" s="163"/>
      <c r="G65" s="163"/>
      <c r="H65" s="163"/>
      <c r="I65" s="163"/>
      <c r="J65" s="163"/>
      <c r="K65" s="163"/>
      <c r="L65" s="163"/>
      <c r="M65" s="163"/>
      <c r="N65" s="163"/>
      <c r="O65" s="164"/>
      <c r="P65" s="19"/>
      <c r="Q65" s="20"/>
      <c r="R65" s="162" t="str">
        <f>INDEX(Language!$A$1:$AX$115,MATCH("Quarter Finals",Language!$B$1:$B$115,0),MATCH($G$2,Language!$A$1:$AW$1,0))</f>
        <v>Negyeddöntő</v>
      </c>
      <c r="S65" s="163"/>
      <c r="T65" s="163"/>
      <c r="U65" s="163"/>
      <c r="V65" s="163"/>
      <c r="W65" s="163"/>
      <c r="X65" s="163"/>
      <c r="Y65" s="163"/>
      <c r="Z65" s="163"/>
      <c r="AA65" s="163"/>
      <c r="AB65" s="164"/>
      <c r="AC65" s="23"/>
      <c r="AE65" s="15"/>
      <c r="AF65" s="16"/>
      <c r="CZ65" s="14"/>
      <c r="DA65" s="14"/>
      <c r="DB65" s="30"/>
      <c r="DC65" s="14"/>
    </row>
    <row r="66" spans="2:107" s="17" customFormat="1" ht="15" customHeight="1">
      <c r="B66" s="19"/>
      <c r="C66" s="54"/>
      <c r="D66" s="55"/>
      <c r="E66" s="55"/>
      <c r="F66" s="55"/>
      <c r="G66" s="56"/>
      <c r="H66" s="55"/>
      <c r="I66" s="55"/>
      <c r="J66" s="55"/>
      <c r="K66" s="57"/>
      <c r="L66" s="55"/>
      <c r="M66" s="55"/>
      <c r="N66" s="55"/>
      <c r="O66" s="20"/>
      <c r="P66" s="19"/>
      <c r="Q66" s="20"/>
      <c r="R66" s="54"/>
      <c r="S66" s="55"/>
      <c r="T66" s="55"/>
      <c r="U66" s="55"/>
      <c r="V66" s="55"/>
      <c r="W66" s="55"/>
      <c r="X66" s="57"/>
      <c r="Y66" s="55"/>
      <c r="Z66" s="55"/>
      <c r="AA66" s="55"/>
      <c r="AB66" s="58"/>
      <c r="AC66" s="23"/>
      <c r="AE66" s="15"/>
      <c r="AF66" s="16"/>
      <c r="CZ66" s="14"/>
      <c r="DA66" s="14"/>
      <c r="DB66" s="30"/>
      <c r="DC66" s="14"/>
    </row>
    <row r="67" spans="2:107" s="17" customFormat="1" ht="15" customHeight="1">
      <c r="B67" s="19"/>
      <c r="C67" s="19"/>
      <c r="D67" s="21">
        <v>49</v>
      </c>
      <c r="E67" s="21"/>
      <c r="F67" s="31">
        <f>G67</f>
        <v>41818.708333333328</v>
      </c>
      <c r="G67" s="32">
        <f>'Countries and Timezone'!R50</f>
        <v>41818.708333333328</v>
      </c>
      <c r="H67" s="100" t="str">
        <f>IF('Countries and Timezone'!$W$161=3,'Countries and Timezone'!$V$161,INDEX(Language!$A$1:$AX$115,MATCH("Group A Winner",Language!$B$1:$B$115,0),MATCH($G$2,Language!$A$1:$AW$1,0)))</f>
        <v>Brazília</v>
      </c>
      <c r="I67" s="20"/>
      <c r="J67" s="21" t="str">
        <f>IF(J68="","",IF(AND(J68=L68,J68&lt;&gt;"",L68&lt;&gt;""),IF(AND(J69=L69,J69&lt;&gt;"",L69&lt;&gt;""),IF(AND(J70=L70,J70&lt;&gt;"",L70&lt;&gt;""),"",J68+J69+J70),J68+J69),J68))</f>
        <v/>
      </c>
      <c r="K67" s="35" t="s">
        <v>2180</v>
      </c>
      <c r="L67" s="21" t="str">
        <f>IF(L68="","",IF(AND(J68=L68,J68&lt;&gt;"",L68&lt;&gt;""),IF(AND(J69=L69,J69&lt;&gt;"",L69&lt;&gt;""),IF(AND(J70=L70,J70&lt;&gt;"",L70&lt;&gt;""),"",L68+L69+L70),L68+L69),L68))</f>
        <v/>
      </c>
      <c r="M67" s="20"/>
      <c r="N67" s="120" t="str">
        <f>IF('Countries and Timezone'!$W$168=3,'Countries and Timezone'!$V$168,INDEX(Language!$A$1:$AX$115,MATCH("Group B Runner Up",Language!$B$1:$B$115,0),MATCH($G$2,Language!$A$1:$AW$1,0)))</f>
        <v>Chile</v>
      </c>
      <c r="O67" s="120"/>
      <c r="P67" s="19"/>
      <c r="Q67" s="20"/>
      <c r="R67" s="54"/>
      <c r="S67" s="57">
        <v>57</v>
      </c>
      <c r="T67" s="31">
        <f>U67</f>
        <v>41824.875</v>
      </c>
      <c r="U67" s="32">
        <f>'Countries and Timezone'!R58</f>
        <v>41824.875</v>
      </c>
      <c r="V67" s="100" t="str">
        <f>IF(AND(J67&lt;&gt;"",L67&lt;&gt;"",J67&lt;&gt;L67),IF(J67&gt;L67,H67,N67),INDEX(Language!$A$1:$AX$115,MATCH("Match 49 Winner",Language!$B$1:$B$115,0),MATCH($G$2,Language!$A$1:$AW$1,0)))</f>
        <v>49. mérkőzés győztese</v>
      </c>
      <c r="W67" s="55"/>
      <c r="X67" s="21" t="str">
        <f>IF(X68="","",IF(AND(X68=Z68,X68&lt;&gt;"",Z68&lt;&gt;""),IF(AND(X69=Z69,X69&lt;&gt;"",Z69&lt;&gt;""),IF(AND(X70=Z70,X70&lt;&gt;"",Z70&lt;&gt;""),"",X68+X69+X70),X68+X69),X68))</f>
        <v/>
      </c>
      <c r="Y67" s="35" t="s">
        <v>2180</v>
      </c>
      <c r="Z67" s="21" t="str">
        <f>IF(Z68="","",IF(AND(X68=Z68,X68&lt;&gt;"",Z68&lt;&gt;""),IF(AND(X69=Z69,X69&lt;&gt;"",Z69&lt;&gt;""),IF(AND(X70=Z70,X70&lt;&gt;"",Z70&lt;&gt;""),"",Z68+Z69+Z70),Z68+Z69),Z68))</f>
        <v/>
      </c>
      <c r="AA67" s="55"/>
      <c r="AB67" s="101" t="str">
        <f>IF(AND(J73&lt;&gt;"",L73&lt;&gt;"",J73&lt;&gt;L73),IF(J73&gt;L73,H73,N73),INDEX(Language!$A$1:$AX$115,MATCH("Match 50 Winner",Language!$B$1:$B$115,0),MATCH($G$2,Language!$A$1:$AW$1,0)))</f>
        <v>50. mérkőzés győztese</v>
      </c>
      <c r="AC67" s="23"/>
      <c r="AE67" s="15"/>
      <c r="AF67" s="16"/>
      <c r="CZ67" s="14"/>
      <c r="DA67" s="14"/>
      <c r="DB67" s="30"/>
      <c r="DC67" s="14"/>
    </row>
    <row r="68" spans="2:107" s="17" customFormat="1" ht="15" customHeight="1">
      <c r="B68" s="19"/>
      <c r="C68" s="19"/>
      <c r="D68" s="21"/>
      <c r="E68" s="21"/>
      <c r="F68" s="20"/>
      <c r="G68" s="20"/>
      <c r="H68" s="33" t="str">
        <f>INDEX(Language!$A$1:$AX$115,MATCH("Normal Time",Language!$B$1:$B$115,0),MATCH($G$2,Language!$A$1:$AW$1,0))</f>
        <v>Rendes játékidő</v>
      </c>
      <c r="I68" s="20"/>
      <c r="J68" s="34"/>
      <c r="K68" s="35" t="s">
        <v>2180</v>
      </c>
      <c r="L68" s="34"/>
      <c r="M68" s="20"/>
      <c r="N68" s="120"/>
      <c r="O68" s="120"/>
      <c r="P68" s="19"/>
      <c r="Q68" s="20"/>
      <c r="R68" s="54"/>
      <c r="S68" s="57"/>
      <c r="T68" s="55"/>
      <c r="U68" s="55"/>
      <c r="V68" s="33" t="str">
        <f>INDEX(Language!$A$1:$AX$115,MATCH("Normal Time",Language!$B$1:$B$115,0),MATCH($G$2,Language!$A$1:$AW$1,0))</f>
        <v>Rendes játékidő</v>
      </c>
      <c r="W68" s="55"/>
      <c r="X68" s="34"/>
      <c r="Y68" s="35" t="s">
        <v>2180</v>
      </c>
      <c r="Z68" s="34"/>
      <c r="AA68" s="55"/>
      <c r="AB68" s="59"/>
      <c r="AC68" s="23"/>
      <c r="AE68" s="15"/>
      <c r="AF68" s="16"/>
      <c r="CZ68" s="14"/>
      <c r="DA68" s="14"/>
      <c r="DB68" s="30"/>
      <c r="DC68" s="14"/>
    </row>
    <row r="69" spans="2:107" s="17" customFormat="1" ht="15" customHeight="1">
      <c r="B69" s="19"/>
      <c r="C69" s="19"/>
      <c r="D69" s="21"/>
      <c r="E69" s="21"/>
      <c r="F69" s="20"/>
      <c r="G69" s="20"/>
      <c r="H69" s="33" t="str">
        <f>INDEX(Language!$A$1:$AX$115,MATCH("Extra Time",Language!$B$1:$B$115,0),MATCH($G$2,Language!$A$1:$AW$1,0))</f>
        <v>Hosszabítás</v>
      </c>
      <c r="I69" s="20"/>
      <c r="J69" s="34"/>
      <c r="K69" s="35" t="s">
        <v>2180</v>
      </c>
      <c r="L69" s="34"/>
      <c r="M69" s="20"/>
      <c r="N69" s="120"/>
      <c r="O69" s="120"/>
      <c r="P69" s="19"/>
      <c r="Q69" s="55"/>
      <c r="R69" s="54"/>
      <c r="S69" s="57"/>
      <c r="T69" s="55"/>
      <c r="U69" s="55"/>
      <c r="V69" s="33" t="str">
        <f>INDEX(Language!$A$1:$AX$115,MATCH("Extra Time",Language!$B$1:$B$115,0),MATCH($G$2,Language!$A$1:$AW$1,0))</f>
        <v>Hosszabítás</v>
      </c>
      <c r="W69" s="55"/>
      <c r="X69" s="34"/>
      <c r="Y69" s="35" t="s">
        <v>2180</v>
      </c>
      <c r="Z69" s="34"/>
      <c r="AA69" s="55"/>
      <c r="AB69" s="59"/>
      <c r="AC69" s="23"/>
      <c r="AE69" s="15"/>
      <c r="AF69" s="16"/>
      <c r="CZ69" s="14"/>
      <c r="DA69" s="14"/>
      <c r="DB69" s="30"/>
      <c r="DC69" s="14"/>
    </row>
    <row r="70" spans="2:107" s="17" customFormat="1" ht="15" customHeight="1">
      <c r="B70" s="19"/>
      <c r="C70" s="19"/>
      <c r="D70" s="21"/>
      <c r="E70" s="21"/>
      <c r="F70" s="20"/>
      <c r="G70" s="20"/>
      <c r="H70" s="33" t="str">
        <f>INDEX(Language!$A$1:$AX$115,MATCH("Penalty Shoot Out",Language!$B$1:$B$115,0),MATCH($G$2,Language!$A$1:$AW$1,0))</f>
        <v>Büntetőrúgások</v>
      </c>
      <c r="I70" s="20"/>
      <c r="J70" s="34"/>
      <c r="K70" s="35" t="s">
        <v>2180</v>
      </c>
      <c r="L70" s="34"/>
      <c r="M70" s="20"/>
      <c r="N70" s="120"/>
      <c r="O70" s="120"/>
      <c r="P70" s="19"/>
      <c r="Q70" s="55"/>
      <c r="R70" s="54"/>
      <c r="S70" s="57"/>
      <c r="T70" s="55"/>
      <c r="U70" s="55"/>
      <c r="V70" s="33" t="str">
        <f>INDEX(Language!$A$1:$AX$115,MATCH("Penalty Shoot Out",Language!$B$1:$B$115,0),MATCH($G$2,Language!$A$1:$AW$1,0))</f>
        <v>Büntetőrúgások</v>
      </c>
      <c r="W70" s="55"/>
      <c r="X70" s="34"/>
      <c r="Y70" s="35" t="s">
        <v>2180</v>
      </c>
      <c r="Z70" s="34"/>
      <c r="AA70" s="55"/>
      <c r="AB70" s="59"/>
      <c r="AC70" s="23"/>
      <c r="AE70" s="15"/>
      <c r="AF70" s="16"/>
      <c r="CZ70" s="14"/>
      <c r="DA70" s="14"/>
      <c r="DB70" s="30"/>
      <c r="DC70" s="14"/>
    </row>
    <row r="71" spans="2:107" s="17" customFormat="1" ht="15" customHeight="1">
      <c r="B71" s="19"/>
      <c r="C71" s="19"/>
      <c r="D71" s="21"/>
      <c r="E71" s="21"/>
      <c r="F71" s="20"/>
      <c r="G71" s="20"/>
      <c r="H71" s="33"/>
      <c r="I71" s="20"/>
      <c r="J71" s="21"/>
      <c r="K71" s="20"/>
      <c r="L71" s="20"/>
      <c r="M71" s="20"/>
      <c r="N71" s="120"/>
      <c r="O71" s="120"/>
      <c r="P71" s="19"/>
      <c r="Q71" s="55"/>
      <c r="R71" s="54"/>
      <c r="S71" s="57"/>
      <c r="T71" s="55"/>
      <c r="U71" s="55"/>
      <c r="V71" s="60"/>
      <c r="W71" s="55"/>
      <c r="X71" s="57"/>
      <c r="Y71" s="55"/>
      <c r="Z71" s="55"/>
      <c r="AA71" s="55"/>
      <c r="AB71" s="59"/>
      <c r="AC71" s="23"/>
      <c r="AE71" s="15"/>
      <c r="AF71" s="16"/>
      <c r="CZ71" s="14"/>
      <c r="DA71" s="14"/>
      <c r="DB71" s="30"/>
      <c r="DC71" s="14"/>
    </row>
    <row r="72" spans="2:107" s="17" customFormat="1" ht="15" customHeight="1">
      <c r="B72" s="19"/>
      <c r="C72" s="19"/>
      <c r="D72" s="21"/>
      <c r="E72" s="21"/>
      <c r="F72" s="20"/>
      <c r="G72" s="20"/>
      <c r="H72" s="33"/>
      <c r="I72" s="20"/>
      <c r="J72" s="21"/>
      <c r="K72" s="20"/>
      <c r="L72" s="20"/>
      <c r="M72" s="20"/>
      <c r="N72" s="120"/>
      <c r="O72" s="120"/>
      <c r="P72" s="19"/>
      <c r="Q72" s="55"/>
      <c r="R72" s="54"/>
      <c r="S72" s="57">
        <v>58</v>
      </c>
      <c r="T72" s="31">
        <f>U72</f>
        <v>41824.708333333328</v>
      </c>
      <c r="U72" s="32">
        <f>'Countries and Timezone'!R59</f>
        <v>41824.708333333328</v>
      </c>
      <c r="V72" s="100" t="str">
        <f>IF(AND(J91&lt;&gt;"",L91&lt;&gt;"",J91&lt;&gt;L91),IF(J91&gt;L91,H91,N91),INDEX(Language!$A$1:$AX$115,MATCH("Match 53 Winner",Language!$B$1:$B$115,0),MATCH($G$2,Language!$A$1:$AW$1,0)))</f>
        <v>53 mérkőzés győztese</v>
      </c>
      <c r="W72" s="55"/>
      <c r="X72" s="21" t="str">
        <f>IF(X73="","",IF(AND(X73=Z73,X73&lt;&gt;"",Z73&lt;&gt;""),IF(AND(X74=Z74,X74&lt;&gt;"",Z74&lt;&gt;""),IF(AND(X75=Z75,X75&lt;&gt;"",Z75&lt;&gt;""),"",X73+X74+X75),X73+X74),X73))</f>
        <v/>
      </c>
      <c r="Y72" s="35" t="s">
        <v>2180</v>
      </c>
      <c r="Z72" s="21" t="str">
        <f>IF(Z73="","",IF(AND(X73=Z73,X73&lt;&gt;"",Z73&lt;&gt;""),IF(AND(X74=Z74,X74&lt;&gt;"",Z74&lt;&gt;""),IF(AND(X75=Z75,X75&lt;&gt;"",Z75&lt;&gt;""),"",Z73+Z74+Z75),Z73+Z74),Z73))</f>
        <v/>
      </c>
      <c r="AA72" s="55"/>
      <c r="AB72" s="101" t="str">
        <f>IF(AND(J97&lt;&gt;"",L97&lt;&gt;"",J97&lt;&gt;L97),IF(J97&gt;L97,H97,N97),INDEX(Language!$A$1:$AX$115,MATCH("Match 54 Winner",Language!$B$1:$B$115,0),MATCH($G$2,Language!$A$1:$AW$1,0)))</f>
        <v>54 mérkőzés győztese</v>
      </c>
      <c r="AC72" s="23"/>
      <c r="AE72" s="15"/>
      <c r="AF72" s="16"/>
      <c r="CZ72" s="14"/>
      <c r="DA72" s="14"/>
      <c r="DB72" s="30"/>
      <c r="DC72" s="14"/>
    </row>
    <row r="73" spans="2:107" s="17" customFormat="1" ht="15" customHeight="1">
      <c r="B73" s="19"/>
      <c r="C73" s="19"/>
      <c r="D73" s="21">
        <v>50</v>
      </c>
      <c r="E73" s="21"/>
      <c r="F73" s="31">
        <f>G73</f>
        <v>41818.875</v>
      </c>
      <c r="G73" s="32">
        <f>'Countries and Timezone'!R51</f>
        <v>41818.875</v>
      </c>
      <c r="H73" s="100" t="str">
        <f>IF('Countries and Timezone'!$W$173=3,'Countries and Timezone'!$V$173,INDEX(Language!$A$1:$AX$115,MATCH("Group C Winner",Language!$B$1:$B$115,0),MATCH($G$2,Language!$A$1:$AW$1,0)))</f>
        <v>Colombia</v>
      </c>
      <c r="I73" s="20"/>
      <c r="J73" s="21" t="str">
        <f>IF(J74="","",IF(AND(J74=L74,J74&lt;&gt;"",L74&lt;&gt;""),IF(AND(J75=L75,J75&lt;&gt;"",L75&lt;&gt;""),IF(AND(J76=L76,J76&lt;&gt;"",L76&lt;&gt;""),"",J74+J75+J76),J74+J75),J74))</f>
        <v/>
      </c>
      <c r="K73" s="35" t="s">
        <v>2180</v>
      </c>
      <c r="L73" s="21" t="str">
        <f>IF(L74="","",IF(AND(J74=L74,J74&lt;&gt;"",L74&lt;&gt;""),IF(AND(J75=L75,J75&lt;&gt;"",L75&lt;&gt;""),IF(AND(J76=L76,J76&lt;&gt;"",L76&lt;&gt;""),"",L74+L75+L76),L74+L75),L74))</f>
        <v/>
      </c>
      <c r="M73" s="20"/>
      <c r="N73" s="120" t="str">
        <f>IF('Countries and Timezone'!$W$180=3,'Countries and Timezone'!$V$180,INDEX(Language!$A$1:$AX$115,MATCH("Group D Runner Up",Language!$B$1:$B$115,0),MATCH($G$2,Language!$A$1:$AW$1,0)))</f>
        <v>Uruguaj</v>
      </c>
      <c r="O73" s="120"/>
      <c r="P73" s="19"/>
      <c r="Q73" s="55"/>
      <c r="R73" s="54"/>
      <c r="S73" s="57"/>
      <c r="T73" s="55"/>
      <c r="U73" s="55"/>
      <c r="V73" s="33" t="str">
        <f>INDEX(Language!$A$1:$AX$115,MATCH("Normal Time",Language!$B$1:$B$115,0),MATCH($G$2,Language!$A$1:$AW$1,0))</f>
        <v>Rendes játékidő</v>
      </c>
      <c r="W73" s="55"/>
      <c r="X73" s="34"/>
      <c r="Y73" s="35" t="s">
        <v>2180</v>
      </c>
      <c r="Z73" s="34"/>
      <c r="AA73" s="55"/>
      <c r="AB73" s="59"/>
      <c r="AC73" s="23"/>
      <c r="AE73" s="15"/>
      <c r="AF73" s="16"/>
      <c r="CZ73" s="14"/>
      <c r="DA73" s="14"/>
      <c r="DB73" s="30"/>
      <c r="DC73" s="14"/>
    </row>
    <row r="74" spans="2:107" s="17" customFormat="1" ht="15" customHeight="1">
      <c r="B74" s="19"/>
      <c r="C74" s="19"/>
      <c r="D74" s="21"/>
      <c r="E74" s="21"/>
      <c r="F74" s="20"/>
      <c r="G74" s="20"/>
      <c r="H74" s="33" t="str">
        <f>INDEX(Language!$A$1:$AX$115,MATCH("Normal Time",Language!$B$1:$B$115,0),MATCH($G$2,Language!$A$1:$AW$1,0))</f>
        <v>Rendes játékidő</v>
      </c>
      <c r="I74" s="20"/>
      <c r="J74" s="34"/>
      <c r="K74" s="35" t="s">
        <v>2180</v>
      </c>
      <c r="L74" s="34"/>
      <c r="M74" s="20"/>
      <c r="N74" s="120"/>
      <c r="O74" s="120"/>
      <c r="P74" s="19"/>
      <c r="Q74" s="55"/>
      <c r="R74" s="54"/>
      <c r="S74" s="57"/>
      <c r="T74" s="55"/>
      <c r="U74" s="55"/>
      <c r="V74" s="33" t="str">
        <f>INDEX(Language!$A$1:$AX$115,MATCH("Extra Time",Language!$B$1:$B$115,0),MATCH($G$2,Language!$A$1:$AW$1,0))</f>
        <v>Hosszabítás</v>
      </c>
      <c r="W74" s="55"/>
      <c r="X74" s="34"/>
      <c r="Y74" s="35" t="s">
        <v>2180</v>
      </c>
      <c r="Z74" s="34"/>
      <c r="AA74" s="55"/>
      <c r="AB74" s="59"/>
      <c r="AC74" s="23"/>
      <c r="AE74" s="15"/>
      <c r="AF74" s="16"/>
      <c r="CZ74" s="14"/>
      <c r="DA74" s="14"/>
      <c r="DB74" s="30"/>
      <c r="DC74" s="14"/>
    </row>
    <row r="75" spans="2:107" s="17" customFormat="1" ht="15" customHeight="1">
      <c r="B75" s="19"/>
      <c r="C75" s="19"/>
      <c r="D75" s="21"/>
      <c r="E75" s="21"/>
      <c r="F75" s="20"/>
      <c r="G75" s="20"/>
      <c r="H75" s="33" t="str">
        <f>INDEX(Language!$A$1:$AX$115,MATCH("Extra Time",Language!$B$1:$B$115,0),MATCH($G$2,Language!$A$1:$AW$1,0))</f>
        <v>Hosszabítás</v>
      </c>
      <c r="I75" s="20"/>
      <c r="J75" s="34"/>
      <c r="K75" s="35" t="s">
        <v>2180</v>
      </c>
      <c r="L75" s="34"/>
      <c r="M75" s="20"/>
      <c r="N75" s="120"/>
      <c r="O75" s="120"/>
      <c r="P75" s="19"/>
      <c r="Q75" s="55"/>
      <c r="R75" s="54"/>
      <c r="S75" s="57"/>
      <c r="T75" s="55"/>
      <c r="U75" s="55"/>
      <c r="V75" s="33" t="str">
        <f>INDEX(Language!$A$1:$AX$115,MATCH("Penalty Shoot Out",Language!$B$1:$B$115,0),MATCH($G$2,Language!$A$1:$AW$1,0))</f>
        <v>Büntetőrúgások</v>
      </c>
      <c r="W75" s="55"/>
      <c r="X75" s="34"/>
      <c r="Y75" s="35" t="s">
        <v>2180</v>
      </c>
      <c r="Z75" s="34"/>
      <c r="AA75" s="55"/>
      <c r="AB75" s="59"/>
      <c r="AC75" s="23"/>
      <c r="AE75" s="15"/>
      <c r="AF75" s="16"/>
      <c r="CZ75" s="14"/>
      <c r="DA75" s="14"/>
      <c r="DB75" s="30"/>
      <c r="DC75" s="14"/>
    </row>
    <row r="76" spans="2:107" s="17" customFormat="1" ht="15" customHeight="1">
      <c r="B76" s="19"/>
      <c r="C76" s="19"/>
      <c r="D76" s="21"/>
      <c r="E76" s="21"/>
      <c r="F76" s="20"/>
      <c r="G76" s="20"/>
      <c r="H76" s="33" t="str">
        <f>INDEX(Language!$A$1:$AX$115,MATCH("Penalty Shoot Out",Language!$B$1:$B$115,0),MATCH($G$2,Language!$A$1:$AW$1,0))</f>
        <v>Büntetőrúgások</v>
      </c>
      <c r="I76" s="20"/>
      <c r="J76" s="34"/>
      <c r="K76" s="35" t="s">
        <v>2180</v>
      </c>
      <c r="L76" s="34"/>
      <c r="M76" s="20"/>
      <c r="N76" s="120"/>
      <c r="O76" s="120"/>
      <c r="P76" s="19"/>
      <c r="Q76" s="55"/>
      <c r="R76" s="54"/>
      <c r="S76" s="57"/>
      <c r="T76" s="55"/>
      <c r="U76" s="55"/>
      <c r="V76" s="60"/>
      <c r="W76" s="55"/>
      <c r="X76" s="57"/>
      <c r="Y76" s="55"/>
      <c r="Z76" s="55"/>
      <c r="AA76" s="55"/>
      <c r="AB76" s="59"/>
      <c r="AC76" s="23"/>
      <c r="AE76" s="15"/>
      <c r="AF76" s="16"/>
      <c r="CZ76" s="14"/>
      <c r="DA76" s="14"/>
      <c r="DB76" s="30"/>
      <c r="DC76" s="14"/>
    </row>
    <row r="77" spans="2:107" s="17" customFormat="1" ht="15" customHeight="1">
      <c r="B77" s="19"/>
      <c r="C77" s="19"/>
      <c r="D77" s="21"/>
      <c r="E77" s="21"/>
      <c r="F77" s="20"/>
      <c r="G77" s="20"/>
      <c r="H77" s="33"/>
      <c r="I77" s="20"/>
      <c r="J77" s="21"/>
      <c r="K77" s="20"/>
      <c r="L77" s="20"/>
      <c r="M77" s="20"/>
      <c r="N77" s="120"/>
      <c r="O77" s="120"/>
      <c r="P77" s="19"/>
      <c r="Q77" s="55"/>
      <c r="R77" s="54"/>
      <c r="S77" s="57">
        <v>59</v>
      </c>
      <c r="T77" s="31">
        <f>U77</f>
        <v>41825.875</v>
      </c>
      <c r="U77" s="32">
        <f>'Countries and Timezone'!R60</f>
        <v>41825.875</v>
      </c>
      <c r="V77" s="100" t="str">
        <f>IF(AND(J79&lt;&gt;"",L79&lt;&gt;"",J79&lt;&gt;L79),IF(J79&gt;L79,H79,N79),INDEX(Language!$A$1:$AX$115,MATCH("Match 51 Winner",Language!$B$1:$B$115,0),MATCH($G$2,Language!$A$1:$AW$1,0)))</f>
        <v>51. mérkőzés győztese</v>
      </c>
      <c r="W77" s="55"/>
      <c r="X77" s="21" t="str">
        <f>IF(X78="","",IF(AND(X78=Z78,X78&lt;&gt;"",Z78&lt;&gt;""),IF(AND(X79=Z79,X79&lt;&gt;"",Z79&lt;&gt;""),IF(AND(X80=Z80,X80&lt;&gt;"",Z80&lt;&gt;""),"",X78+X79+X80),X78+X79),X78))</f>
        <v/>
      </c>
      <c r="Y77" s="35" t="s">
        <v>2180</v>
      </c>
      <c r="Z77" s="21" t="str">
        <f>IF(Z78="","",IF(AND(X78=Z78,X78&lt;&gt;"",Z78&lt;&gt;""),IF(AND(X79=Z79,X79&lt;&gt;"",Z79&lt;&gt;""),IF(AND(X80=Z80,X80&lt;&gt;"",Z80&lt;&gt;""),"",Z78+Z79+Z80),Z78+Z79),Z78))</f>
        <v/>
      </c>
      <c r="AA77" s="55"/>
      <c r="AB77" s="101" t="str">
        <f>IF(AND(J85&lt;&gt;"",L85&lt;&gt;"",J85&lt;&gt;L85),IF(J85&gt;L85,H85,N85),INDEX(Language!$A$1:$AX$115,MATCH("Match 52 Winner",Language!$B$1:$B$115,0),MATCH($G$2,Language!$A$1:$AW$1,0)))</f>
        <v>52. mérkőzés győztese</v>
      </c>
      <c r="AC77" s="23"/>
      <c r="AE77" s="15"/>
      <c r="AF77" s="16"/>
      <c r="CZ77" s="14"/>
      <c r="DA77" s="14"/>
      <c r="DB77" s="30"/>
      <c r="DC77" s="14"/>
    </row>
    <row r="78" spans="2:107" s="17" customFormat="1" ht="15" customHeight="1">
      <c r="B78" s="19"/>
      <c r="C78" s="19"/>
      <c r="D78" s="21"/>
      <c r="E78" s="21"/>
      <c r="F78" s="20"/>
      <c r="G78" s="20"/>
      <c r="H78" s="33"/>
      <c r="I78" s="20"/>
      <c r="J78" s="21"/>
      <c r="K78" s="20"/>
      <c r="L78" s="20"/>
      <c r="M78" s="20"/>
      <c r="N78" s="120"/>
      <c r="O78" s="120"/>
      <c r="P78" s="19"/>
      <c r="Q78" s="55"/>
      <c r="R78" s="54"/>
      <c r="S78" s="57"/>
      <c r="T78" s="55"/>
      <c r="U78" s="55"/>
      <c r="V78" s="33" t="str">
        <f>INDEX(Language!$A$1:$AX$115,MATCH("Normal Time",Language!$B$1:$B$115,0),MATCH($G$2,Language!$A$1:$AW$1,0))</f>
        <v>Rendes játékidő</v>
      </c>
      <c r="W78" s="55"/>
      <c r="X78" s="34"/>
      <c r="Y78" s="35" t="s">
        <v>2180</v>
      </c>
      <c r="Z78" s="34"/>
      <c r="AA78" s="55"/>
      <c r="AB78" s="59"/>
      <c r="AC78" s="23"/>
      <c r="AE78" s="15"/>
      <c r="AF78" s="16"/>
      <c r="CZ78" s="14"/>
      <c r="DA78" s="14"/>
      <c r="DB78" s="30"/>
      <c r="DC78" s="14"/>
    </row>
    <row r="79" spans="2:107" s="17" customFormat="1" ht="15" customHeight="1">
      <c r="B79" s="54"/>
      <c r="C79" s="54"/>
      <c r="D79" s="57">
        <v>51</v>
      </c>
      <c r="E79" s="57"/>
      <c r="F79" s="31">
        <f>G79</f>
        <v>41819.708333333328</v>
      </c>
      <c r="G79" s="32">
        <f>'Countries and Timezone'!R52</f>
        <v>41819.708333333328</v>
      </c>
      <c r="H79" s="100" t="str">
        <f>IF('Countries and Timezone'!$W$167=3,'Countries and Timezone'!$V$167,INDEX(Language!$A$1:$AX$115,MATCH("Group B Winner",Language!$B$1:$B$115,0),MATCH($G$2,Language!$A$1:$AW$1,0)))</f>
        <v>Hollandia</v>
      </c>
      <c r="I79" s="20"/>
      <c r="J79" s="21" t="str">
        <f>IF(J80="","",IF(AND(J80=L80,J80&lt;&gt;"",L80&lt;&gt;""),IF(AND(J81=L81,J81&lt;&gt;"",L81&lt;&gt;""),IF(AND(J82=L82,J82&lt;&gt;"",L82&lt;&gt;""),"",J80+J81+J82),J80+J81),J80))</f>
        <v/>
      </c>
      <c r="K79" s="35" t="s">
        <v>2180</v>
      </c>
      <c r="L79" s="21" t="str">
        <f>IF(L80="","",IF(AND(J80=L80,J80&lt;&gt;"",L80&lt;&gt;""),IF(AND(J81=L81,J81&lt;&gt;"",L81&lt;&gt;""),IF(AND(J82=L82,J82&lt;&gt;"",L82&lt;&gt;""),"",L80+L81+L82),L80+L81),L80))</f>
        <v/>
      </c>
      <c r="M79" s="20"/>
      <c r="N79" s="120" t="str">
        <f>IF('Countries and Timezone'!$W$162=3,'Countries and Timezone'!$V$162,INDEX(Language!$A$1:$AX$115,MATCH("Group A Runner Up",Language!$B$1:$B$115,0),MATCH($G$2,Language!$A$1:$AW$1,0)))</f>
        <v>Mexikó</v>
      </c>
      <c r="O79" s="120"/>
      <c r="P79" s="19"/>
      <c r="Q79" s="55"/>
      <c r="R79" s="54"/>
      <c r="S79" s="57"/>
      <c r="T79" s="55"/>
      <c r="U79" s="55"/>
      <c r="V79" s="33" t="str">
        <f>INDEX(Language!$A$1:$AX$115,MATCH("Extra Time",Language!$B$1:$B$115,0),MATCH($G$2,Language!$A$1:$AW$1,0))</f>
        <v>Hosszabítás</v>
      </c>
      <c r="W79" s="55"/>
      <c r="X79" s="34"/>
      <c r="Y79" s="35" t="s">
        <v>2180</v>
      </c>
      <c r="Z79" s="34"/>
      <c r="AA79" s="55"/>
      <c r="AB79" s="59"/>
      <c r="AC79" s="23"/>
      <c r="AE79" s="15"/>
      <c r="AF79" s="16"/>
      <c r="CZ79" s="14"/>
      <c r="DA79" s="14"/>
      <c r="DB79" s="30"/>
      <c r="DC79" s="14"/>
    </row>
    <row r="80" spans="2:107" s="17" customFormat="1" ht="15" customHeight="1">
      <c r="B80" s="54"/>
      <c r="C80" s="54"/>
      <c r="D80" s="57"/>
      <c r="E80" s="57"/>
      <c r="F80" s="55"/>
      <c r="G80" s="56"/>
      <c r="H80" s="33" t="str">
        <f>INDEX(Language!$A$1:$AX$115,MATCH("Normal Time",Language!$B$1:$B$115,0),MATCH($G$2,Language!$A$1:$AW$1,0))</f>
        <v>Rendes játékidő</v>
      </c>
      <c r="I80" s="55"/>
      <c r="J80" s="34"/>
      <c r="K80" s="35" t="s">
        <v>2180</v>
      </c>
      <c r="L80" s="34"/>
      <c r="M80" s="55"/>
      <c r="N80" s="121"/>
      <c r="O80" s="120"/>
      <c r="P80" s="19"/>
      <c r="Q80" s="55"/>
      <c r="R80" s="54"/>
      <c r="S80" s="57"/>
      <c r="T80" s="55"/>
      <c r="U80" s="55"/>
      <c r="V80" s="33" t="str">
        <f>INDEX(Language!$A$1:$AX$115,MATCH("Penalty Shoot Out",Language!$B$1:$B$115,0),MATCH($G$2,Language!$A$1:$AW$1,0))</f>
        <v>Büntetőrúgások</v>
      </c>
      <c r="W80" s="55"/>
      <c r="X80" s="34"/>
      <c r="Y80" s="35" t="s">
        <v>2180</v>
      </c>
      <c r="Z80" s="34"/>
      <c r="AA80" s="55"/>
      <c r="AB80" s="59"/>
      <c r="AC80" s="23"/>
      <c r="AE80" s="15"/>
      <c r="AF80" s="16"/>
      <c r="CZ80" s="14"/>
      <c r="DA80" s="14"/>
      <c r="DB80" s="30"/>
      <c r="DC80" s="14"/>
    </row>
    <row r="81" spans="2:107" s="17" customFormat="1" ht="15" customHeight="1">
      <c r="B81" s="54"/>
      <c r="C81" s="54"/>
      <c r="D81" s="57"/>
      <c r="E81" s="57"/>
      <c r="F81" s="55"/>
      <c r="G81" s="56"/>
      <c r="H81" s="33" t="str">
        <f>INDEX(Language!$A$1:$AX$115,MATCH("Extra Time",Language!$B$1:$B$115,0),MATCH($G$2,Language!$A$1:$AW$1,0))</f>
        <v>Hosszabítás</v>
      </c>
      <c r="I81" s="55"/>
      <c r="J81" s="34"/>
      <c r="K81" s="35" t="s">
        <v>2180</v>
      </c>
      <c r="L81" s="34"/>
      <c r="M81" s="55"/>
      <c r="N81" s="121"/>
      <c r="O81" s="120"/>
      <c r="P81" s="19"/>
      <c r="Q81" s="55"/>
      <c r="R81" s="54"/>
      <c r="S81" s="57"/>
      <c r="T81" s="55"/>
      <c r="U81" s="55"/>
      <c r="V81" s="60"/>
      <c r="W81" s="55"/>
      <c r="X81" s="57"/>
      <c r="Y81" s="55"/>
      <c r="Z81" s="55"/>
      <c r="AA81" s="55"/>
      <c r="AB81" s="59"/>
      <c r="AC81" s="23"/>
      <c r="AE81" s="15"/>
      <c r="AF81" s="16"/>
      <c r="CZ81" s="14"/>
      <c r="DA81" s="14"/>
      <c r="DB81" s="30"/>
      <c r="DC81" s="14"/>
    </row>
    <row r="82" spans="2:107" s="17" customFormat="1" ht="15" customHeight="1">
      <c r="B82" s="54"/>
      <c r="C82" s="54"/>
      <c r="D82" s="57"/>
      <c r="E82" s="57"/>
      <c r="F82" s="55"/>
      <c r="G82" s="56"/>
      <c r="H82" s="33" t="str">
        <f>INDEX(Language!$A$1:$AX$115,MATCH("Penalty Shoot Out",Language!$B$1:$B$115,0),MATCH($G$2,Language!$A$1:$AW$1,0))</f>
        <v>Büntetőrúgások</v>
      </c>
      <c r="I82" s="55"/>
      <c r="J82" s="34"/>
      <c r="K82" s="35" t="s">
        <v>2180</v>
      </c>
      <c r="L82" s="34"/>
      <c r="M82" s="55"/>
      <c r="N82" s="121"/>
      <c r="O82" s="120"/>
      <c r="P82" s="19"/>
      <c r="Q82" s="55"/>
      <c r="R82" s="54"/>
      <c r="S82" s="57">
        <v>60</v>
      </c>
      <c r="T82" s="31">
        <f>U82</f>
        <v>41825.708333333328</v>
      </c>
      <c r="U82" s="32">
        <f>'Countries and Timezone'!R61</f>
        <v>41825.708333333328</v>
      </c>
      <c r="V82" s="100" t="str">
        <f>IF(AND(J103&lt;&gt;"",L103&lt;&gt;"",J103&lt;&gt;L103),IF(J103&gt;L103,H103,N103),INDEX(Language!$A$1:$AX$115,MATCH("Match 55 Winner",Language!$B$1:$B$115,0),MATCH($G$2,Language!$A$1:$AW$1,0)))</f>
        <v>55 mérkőzés győztese</v>
      </c>
      <c r="W82" s="55"/>
      <c r="X82" s="21" t="str">
        <f>IF(X83="","",IF(AND(X83=Z83,X83&lt;&gt;"",Z83&lt;&gt;""),IF(AND(X84=Z84,X84&lt;&gt;"",Z84&lt;&gt;""),IF(AND(X85=Z85,X85&lt;&gt;"",Z85&lt;&gt;""),"",X83+X84+X85),X83+X84),X83))</f>
        <v/>
      </c>
      <c r="Y82" s="35" t="s">
        <v>2180</v>
      </c>
      <c r="Z82" s="21" t="str">
        <f>IF(Z83="","",IF(AND(X83=Z83,X83&lt;&gt;"",Z83&lt;&gt;""),IF(AND(X84=Z84,X84&lt;&gt;"",Z84&lt;&gt;""),IF(AND(X85=Z85,X85&lt;&gt;"",Z85&lt;&gt;""),"",Z83+Z84+Z85),Z83+Z84),Z83))</f>
        <v/>
      </c>
      <c r="AA82" s="55"/>
      <c r="AB82" s="101" t="str">
        <f>IF(AND(J109&lt;&gt;"",L109&lt;&gt;"",J109&lt;&gt;L109),IF(J109&gt;L109,H109,N109),INDEX(Language!$A$1:$AX$115,MATCH("Match 56 Winner",Language!$B$1:$B$115,0),MATCH($G$2,Language!$A$1:$AW$1,0)))</f>
        <v>56 mérkőzés győztese</v>
      </c>
      <c r="AC82" s="23"/>
      <c r="AE82" s="15"/>
      <c r="AF82" s="16"/>
      <c r="CZ82" s="14"/>
      <c r="DA82" s="14"/>
      <c r="DB82" s="30"/>
      <c r="DC82" s="14"/>
    </row>
    <row r="83" spans="2:107" s="17" customFormat="1" ht="15" customHeight="1">
      <c r="B83" s="54"/>
      <c r="C83" s="54"/>
      <c r="D83" s="57"/>
      <c r="E83" s="57"/>
      <c r="F83" s="55"/>
      <c r="G83" s="56"/>
      <c r="H83" s="60"/>
      <c r="I83" s="55"/>
      <c r="J83" s="57"/>
      <c r="K83" s="55"/>
      <c r="L83" s="55"/>
      <c r="M83" s="55"/>
      <c r="N83" s="121"/>
      <c r="O83" s="120"/>
      <c r="P83" s="19"/>
      <c r="Q83" s="55"/>
      <c r="R83" s="54"/>
      <c r="S83" s="55"/>
      <c r="T83" s="55"/>
      <c r="U83" s="55"/>
      <c r="V83" s="33" t="str">
        <f>INDEX(Language!$A$1:$AX$115,MATCH("Normal Time",Language!$B$1:$B$115,0),MATCH($G$2,Language!$A$1:$AW$1,0))</f>
        <v>Rendes játékidő</v>
      </c>
      <c r="W83" s="55"/>
      <c r="X83" s="34"/>
      <c r="Y83" s="35" t="s">
        <v>2180</v>
      </c>
      <c r="Z83" s="34"/>
      <c r="AA83" s="55"/>
      <c r="AB83" s="59"/>
      <c r="AC83" s="23"/>
      <c r="AE83" s="15"/>
      <c r="AF83" s="16"/>
      <c r="CZ83" s="14"/>
      <c r="DA83" s="14"/>
      <c r="DB83" s="30"/>
      <c r="DC83" s="14"/>
    </row>
    <row r="84" spans="2:107" s="17" customFormat="1" ht="15" customHeight="1">
      <c r="B84" s="54"/>
      <c r="C84" s="54"/>
      <c r="D84" s="57"/>
      <c r="E84" s="57"/>
      <c r="F84" s="55"/>
      <c r="G84" s="56"/>
      <c r="H84" s="60"/>
      <c r="I84" s="55"/>
      <c r="J84" s="57"/>
      <c r="K84" s="55"/>
      <c r="L84" s="55"/>
      <c r="M84" s="55"/>
      <c r="N84" s="121"/>
      <c r="O84" s="120"/>
      <c r="P84" s="19"/>
      <c r="Q84" s="55"/>
      <c r="R84" s="54"/>
      <c r="S84" s="55"/>
      <c r="T84" s="55"/>
      <c r="U84" s="55"/>
      <c r="V84" s="33" t="str">
        <f>INDEX(Language!$A$1:$AX$115,MATCH("Extra Time",Language!$B$1:$B$115,0),MATCH($G$2,Language!$A$1:$AW$1,0))</f>
        <v>Hosszabítás</v>
      </c>
      <c r="W84" s="55"/>
      <c r="X84" s="34"/>
      <c r="Y84" s="35" t="s">
        <v>2180</v>
      </c>
      <c r="Z84" s="34"/>
      <c r="AA84" s="55"/>
      <c r="AB84" s="59"/>
      <c r="AC84" s="23"/>
      <c r="AE84" s="15"/>
      <c r="AF84" s="16"/>
      <c r="CZ84" s="14"/>
      <c r="DA84" s="14"/>
      <c r="DB84" s="30"/>
      <c r="DC84" s="14"/>
    </row>
    <row r="85" spans="2:107" s="17" customFormat="1" ht="15" customHeight="1">
      <c r="B85" s="54"/>
      <c r="C85" s="54"/>
      <c r="D85" s="57">
        <v>52</v>
      </c>
      <c r="E85" s="57"/>
      <c r="F85" s="31">
        <f>G85</f>
        <v>41819.875</v>
      </c>
      <c r="G85" s="32">
        <f>'Countries and Timezone'!R53</f>
        <v>41819.875</v>
      </c>
      <c r="H85" s="100" t="str">
        <f>IF('Countries and Timezone'!$W$179=3,'Countries and Timezone'!$V$179,INDEX(Language!$A$1:$AX$115,MATCH("Group D Winner",Language!$B$1:$B$115,0),MATCH($G$2,Language!$A$1:$AW$1,0)))</f>
        <v>Costa Rica</v>
      </c>
      <c r="I85" s="20"/>
      <c r="J85" s="21" t="str">
        <f>IF(J86="","",IF(AND(J86=L86,J86&lt;&gt;"",L86&lt;&gt;""),IF(AND(J87=L87,J87&lt;&gt;"",L87&lt;&gt;""),IF(AND(J88=L88,J88&lt;&gt;"",L88&lt;&gt;""),"",J86+J87+J88),J86+J87),J86))</f>
        <v/>
      </c>
      <c r="K85" s="35" t="s">
        <v>2180</v>
      </c>
      <c r="L85" s="21" t="str">
        <f>IF(L86="","",IF(AND(J86=L86,J86&lt;&gt;"",L86&lt;&gt;""),IF(AND(J87=L87,J87&lt;&gt;"",L87&lt;&gt;""),IF(AND(J88=L88,J88&lt;&gt;"",L88&lt;&gt;""),"",L86+L87+L88),L86+L87),L86))</f>
        <v/>
      </c>
      <c r="M85" s="20"/>
      <c r="N85" s="120" t="str">
        <f>IF('Countries and Timezone'!$W$174=3,'Countries and Timezone'!$V$174,INDEX(Language!$A$1:$AX$115,MATCH("Group C Runner Up",Language!$B$1:$B$115,0),MATCH($G$2,Language!$A$1:$AW$1,0)))</f>
        <v>Görögország</v>
      </c>
      <c r="O85" s="120"/>
      <c r="P85" s="19"/>
      <c r="Q85" s="55"/>
      <c r="R85" s="54"/>
      <c r="S85" s="55"/>
      <c r="T85" s="55"/>
      <c r="U85" s="55"/>
      <c r="V85" s="33" t="str">
        <f>INDEX(Language!$A$1:$AX$115,MATCH("Penalty Shoot Out",Language!$B$1:$B$115,0),MATCH($G$2,Language!$A$1:$AW$1,0))</f>
        <v>Büntetőrúgások</v>
      </c>
      <c r="W85" s="55"/>
      <c r="X85" s="34"/>
      <c r="Y85" s="35" t="s">
        <v>2180</v>
      </c>
      <c r="Z85" s="34"/>
      <c r="AA85" s="55"/>
      <c r="AB85" s="59"/>
      <c r="AC85" s="23"/>
      <c r="AE85" s="15"/>
      <c r="AF85" s="16"/>
      <c r="CZ85" s="14"/>
      <c r="DA85" s="14"/>
      <c r="DB85" s="30"/>
      <c r="DC85" s="14"/>
    </row>
    <row r="86" spans="2:107" s="17" customFormat="1" ht="15" customHeight="1">
      <c r="B86" s="54"/>
      <c r="C86" s="54"/>
      <c r="D86" s="57"/>
      <c r="E86" s="57"/>
      <c r="F86" s="55"/>
      <c r="G86" s="56"/>
      <c r="H86" s="33" t="str">
        <f>INDEX(Language!$A$1:$AX$115,MATCH("Normal Time",Language!$B$1:$B$115,0),MATCH($G$2,Language!$A$1:$AW$1,0))</f>
        <v>Rendes játékidő</v>
      </c>
      <c r="I86" s="55"/>
      <c r="J86" s="34"/>
      <c r="K86" s="35" t="s">
        <v>2180</v>
      </c>
      <c r="L86" s="34"/>
      <c r="M86" s="55"/>
      <c r="N86" s="121"/>
      <c r="O86" s="120"/>
      <c r="P86" s="19"/>
      <c r="Q86" s="55"/>
      <c r="R86" s="61"/>
      <c r="S86" s="62"/>
      <c r="T86" s="62"/>
      <c r="U86" s="62"/>
      <c r="V86" s="62"/>
      <c r="W86" s="62"/>
      <c r="X86" s="63"/>
      <c r="Y86" s="62"/>
      <c r="Z86" s="62"/>
      <c r="AA86" s="62"/>
      <c r="AB86" s="64"/>
      <c r="AC86" s="23"/>
      <c r="AE86" s="15"/>
      <c r="AF86" s="16"/>
      <c r="CZ86" s="14"/>
      <c r="DA86" s="14"/>
      <c r="DB86" s="30"/>
      <c r="DC86" s="14"/>
    </row>
    <row r="87" spans="2:107" s="17" customFormat="1" ht="15" customHeight="1">
      <c r="B87" s="54"/>
      <c r="C87" s="54"/>
      <c r="D87" s="57"/>
      <c r="E87" s="57"/>
      <c r="F87" s="55"/>
      <c r="G87" s="56"/>
      <c r="H87" s="33" t="str">
        <f>INDEX(Language!$A$1:$AX$115,MATCH("Extra Time",Language!$B$1:$B$115,0),MATCH($G$2,Language!$A$1:$AW$1,0))</f>
        <v>Hosszabítás</v>
      </c>
      <c r="I87" s="55"/>
      <c r="J87" s="34"/>
      <c r="K87" s="35" t="s">
        <v>2180</v>
      </c>
      <c r="L87" s="34"/>
      <c r="M87" s="55"/>
      <c r="N87" s="121"/>
      <c r="O87" s="120"/>
      <c r="P87" s="19"/>
      <c r="Q87" s="55"/>
      <c r="R87" s="55"/>
      <c r="S87" s="55"/>
      <c r="T87" s="55"/>
      <c r="U87" s="55"/>
      <c r="V87" s="55"/>
      <c r="W87" s="55"/>
      <c r="X87" s="57"/>
      <c r="Y87" s="55"/>
      <c r="Z87" s="55"/>
      <c r="AA87" s="55"/>
      <c r="AB87" s="55"/>
      <c r="AC87" s="23"/>
      <c r="AE87" s="15"/>
      <c r="AF87" s="16"/>
      <c r="CZ87" s="14"/>
      <c r="DA87" s="14"/>
      <c r="DB87" s="30"/>
      <c r="DC87" s="14"/>
    </row>
    <row r="88" spans="2:107" s="17" customFormat="1" ht="15" customHeight="1">
      <c r="B88" s="54"/>
      <c r="C88" s="54"/>
      <c r="D88" s="57"/>
      <c r="E88" s="57"/>
      <c r="F88" s="55"/>
      <c r="G88" s="56"/>
      <c r="H88" s="33" t="str">
        <f>INDEX(Language!$A$1:$AX$115,MATCH("Penalty Shoot Out",Language!$B$1:$B$115,0),MATCH($G$2,Language!$A$1:$AW$1,0))</f>
        <v>Büntetőrúgások</v>
      </c>
      <c r="I88" s="55"/>
      <c r="J88" s="34"/>
      <c r="K88" s="35" t="s">
        <v>2180</v>
      </c>
      <c r="L88" s="34"/>
      <c r="M88" s="55"/>
      <c r="N88" s="121"/>
      <c r="O88" s="120"/>
      <c r="P88" s="19"/>
      <c r="Q88" s="20"/>
      <c r="R88" s="162" t="str">
        <f>INDEX(Language!$A$1:$AX$115,MATCH("Semi Finals",Language!$B$1:$B$115,0),MATCH($G$2,Language!$A$1:$AW$1,0))</f>
        <v>Elődöntő</v>
      </c>
      <c r="S88" s="163"/>
      <c r="T88" s="163"/>
      <c r="U88" s="163"/>
      <c r="V88" s="163"/>
      <c r="W88" s="163"/>
      <c r="X88" s="163"/>
      <c r="Y88" s="163"/>
      <c r="Z88" s="163"/>
      <c r="AA88" s="163"/>
      <c r="AB88" s="164"/>
      <c r="AC88" s="23"/>
      <c r="AE88" s="15"/>
      <c r="AF88" s="16"/>
      <c r="CZ88" s="14"/>
      <c r="DA88" s="14"/>
      <c r="DB88" s="30"/>
      <c r="DC88" s="14"/>
    </row>
    <row r="89" spans="2:107" s="17" customFormat="1" ht="15" customHeight="1">
      <c r="B89" s="54"/>
      <c r="C89" s="54"/>
      <c r="D89" s="57"/>
      <c r="E89" s="57"/>
      <c r="F89" s="55"/>
      <c r="G89" s="56"/>
      <c r="H89" s="60"/>
      <c r="I89" s="55"/>
      <c r="J89" s="57"/>
      <c r="K89" s="55"/>
      <c r="L89" s="55"/>
      <c r="M89" s="55"/>
      <c r="N89" s="121"/>
      <c r="O89" s="120"/>
      <c r="P89" s="19"/>
      <c r="Q89" s="55"/>
      <c r="R89" s="54"/>
      <c r="S89" s="55"/>
      <c r="T89" s="55"/>
      <c r="U89" s="55"/>
      <c r="V89" s="55"/>
      <c r="W89" s="55"/>
      <c r="X89" s="57"/>
      <c r="Y89" s="55"/>
      <c r="Z89" s="55"/>
      <c r="AA89" s="55"/>
      <c r="AB89" s="58"/>
      <c r="AC89" s="23"/>
      <c r="AE89" s="15"/>
      <c r="AF89" s="16"/>
      <c r="CZ89" s="14"/>
      <c r="DA89" s="14"/>
      <c r="DB89" s="30"/>
      <c r="DC89" s="14"/>
    </row>
    <row r="90" spans="2:107" s="17" customFormat="1" ht="15" customHeight="1">
      <c r="B90" s="54"/>
      <c r="C90" s="54"/>
      <c r="D90" s="57"/>
      <c r="E90" s="57"/>
      <c r="F90" s="55"/>
      <c r="G90" s="56"/>
      <c r="H90" s="60"/>
      <c r="I90" s="55"/>
      <c r="J90" s="57"/>
      <c r="K90" s="55"/>
      <c r="L90" s="55"/>
      <c r="M90" s="55"/>
      <c r="N90" s="121"/>
      <c r="O90" s="120"/>
      <c r="P90" s="19"/>
      <c r="Q90" s="55"/>
      <c r="R90" s="54"/>
      <c r="S90" s="55">
        <v>61</v>
      </c>
      <c r="T90" s="31">
        <f>U90</f>
        <v>41828.875</v>
      </c>
      <c r="U90" s="32">
        <f>'Countries and Timezone'!R62</f>
        <v>41828.875</v>
      </c>
      <c r="V90" s="100" t="str">
        <f>IF(AND(X67&lt;&gt;"",Z67&lt;&gt;"",X67&lt;&gt;Z67),IF(X67&gt;Z67,V67,AB67),INDEX(Language!$A$1:$AX$115,MATCH("Match 57 Winner",Language!$B$1:$B$115,0),MATCH($G$2,Language!$A$1:$AW$1,0)))</f>
        <v>57 mérkőzés győztese</v>
      </c>
      <c r="W90" s="55"/>
      <c r="X90" s="21" t="str">
        <f>IF(X91="","",IF(AND(X91=Z91,X91&lt;&gt;"",Z91&lt;&gt;""),IF(AND(X92=Z92,X92&lt;&gt;"",Z92&lt;&gt;""),IF(AND(X93=Z93,X93&lt;&gt;"",Z93&lt;&gt;""),"",X91+X92+X93),X91+X92),X91))</f>
        <v/>
      </c>
      <c r="Y90" s="35" t="s">
        <v>2180</v>
      </c>
      <c r="Z90" s="21" t="str">
        <f>IF(Z91="","",IF(AND(X91=Z91,X91&lt;&gt;"",Z91&lt;&gt;""),IF(AND(X92=Z92,X92&lt;&gt;"",Z92&lt;&gt;""),IF(AND(X93=Z93,X93&lt;&gt;"",Z93&lt;&gt;""),"",Z91+Z92+Z93),Z91+Z92),Z91))</f>
        <v/>
      </c>
      <c r="AA90" s="55"/>
      <c r="AB90" s="101" t="str">
        <f>IF(AND(X72&lt;&gt;"",Z72&lt;&gt;"",X72&lt;&gt;Z72),IF(X72&gt;Z72,V72,AB72),INDEX(Language!$A$1:$AX$115,MATCH("Match 58 Winner",Language!$B$1:$B$115,0),MATCH($G$2,Language!$A$1:$AW$1,0)))</f>
        <v>58 mérkőzés győztese</v>
      </c>
      <c r="AC90" s="23"/>
      <c r="AE90" s="15"/>
      <c r="AF90" s="16"/>
      <c r="CZ90" s="14"/>
      <c r="DA90" s="14"/>
      <c r="DB90" s="30"/>
      <c r="DC90" s="14"/>
    </row>
    <row r="91" spans="2:107" s="17" customFormat="1" ht="15" customHeight="1">
      <c r="B91" s="54"/>
      <c r="C91" s="54"/>
      <c r="D91" s="57">
        <v>53</v>
      </c>
      <c r="E91" s="57"/>
      <c r="F91" s="31">
        <f>G91</f>
        <v>41820.708333333328</v>
      </c>
      <c r="G91" s="32">
        <f>'Countries and Timezone'!R54</f>
        <v>41820.708333333328</v>
      </c>
      <c r="H91" s="100" t="str">
        <f>IF('Countries and Timezone'!$W$185=3,'Countries and Timezone'!$V$185,INDEX(Language!$A$1:$AX$115,MATCH("Group E Winner",Language!$B$1:$B$115,0),MATCH($G$2,Language!$A$1:$AW$1,0)))</f>
        <v>Franciaország</v>
      </c>
      <c r="I91" s="20"/>
      <c r="J91" s="21" t="str">
        <f>IF(J92="","",IF(AND(J92=L92,J92&lt;&gt;"",L92&lt;&gt;""),IF(AND(J93=L93,J93&lt;&gt;"",L93&lt;&gt;""),IF(AND(J94=L94,J94&lt;&gt;"",L94&lt;&gt;""),"",J92+J93+J94),J92+J93),J92))</f>
        <v/>
      </c>
      <c r="K91" s="35" t="s">
        <v>2180</v>
      </c>
      <c r="L91" s="21" t="str">
        <f>IF(L92="","",IF(AND(J92=L92,J92&lt;&gt;"",L92&lt;&gt;""),IF(AND(J93=L93,J93&lt;&gt;"",L93&lt;&gt;""),IF(AND(J94=L94,J94&lt;&gt;"",L94&lt;&gt;""),"",L92+L93+L94),L92+L93),L92))</f>
        <v/>
      </c>
      <c r="M91" s="20"/>
      <c r="N91" s="120" t="str">
        <f>IF('Countries and Timezone'!$W$192=3,'Countries and Timezone'!$V$192,INDEX(Language!$A$1:$AX$115,MATCH("Group F Runner Up",Language!$B$1:$B$115,0),MATCH($G$2,Language!$A$1:$AW$1,0)))</f>
        <v>Nigéria</v>
      </c>
      <c r="O91" s="120"/>
      <c r="P91" s="19"/>
      <c r="Q91" s="55"/>
      <c r="R91" s="54"/>
      <c r="S91" s="55"/>
      <c r="T91" s="55"/>
      <c r="U91" s="55"/>
      <c r="V91" s="33" t="str">
        <f>INDEX(Language!$A$1:$AX$115,MATCH("Normal Time",Language!$B$1:$B$115,0),MATCH($G$2,Language!$A$1:$AW$1,0))</f>
        <v>Rendes játékidő</v>
      </c>
      <c r="W91" s="55"/>
      <c r="X91" s="34"/>
      <c r="Y91" s="35" t="s">
        <v>2180</v>
      </c>
      <c r="Z91" s="34"/>
      <c r="AA91" s="55"/>
      <c r="AB91" s="59"/>
      <c r="AC91" s="23"/>
      <c r="AE91" s="15"/>
      <c r="AF91" s="16"/>
      <c r="CZ91" s="14"/>
      <c r="DA91" s="14"/>
      <c r="DB91" s="30"/>
      <c r="DC91" s="14"/>
    </row>
    <row r="92" spans="2:107" s="17" customFormat="1" ht="15" customHeight="1">
      <c r="B92" s="19"/>
      <c r="C92" s="54"/>
      <c r="D92" s="57"/>
      <c r="E92" s="57"/>
      <c r="F92" s="55"/>
      <c r="G92" s="56"/>
      <c r="H92" s="33" t="str">
        <f>INDEX(Language!$A$1:$AX$115,MATCH("Normal Time",Language!$B$1:$B$115,0),MATCH($G$2,Language!$A$1:$AW$1,0))</f>
        <v>Rendes játékidő</v>
      </c>
      <c r="I92" s="55"/>
      <c r="J92" s="34"/>
      <c r="K92" s="35" t="s">
        <v>2180</v>
      </c>
      <c r="L92" s="34"/>
      <c r="M92" s="55"/>
      <c r="N92" s="121"/>
      <c r="O92" s="120"/>
      <c r="P92" s="19"/>
      <c r="Q92" s="55"/>
      <c r="R92" s="54"/>
      <c r="S92" s="55"/>
      <c r="T92" s="55"/>
      <c r="U92" s="55"/>
      <c r="V92" s="33" t="str">
        <f>INDEX(Language!$A$1:$AX$115,MATCH("Extra Time",Language!$B$1:$B$115,0),MATCH($G$2,Language!$A$1:$AW$1,0))</f>
        <v>Hosszabítás</v>
      </c>
      <c r="W92" s="55"/>
      <c r="X92" s="34"/>
      <c r="Y92" s="35" t="s">
        <v>2180</v>
      </c>
      <c r="Z92" s="34"/>
      <c r="AA92" s="55"/>
      <c r="AB92" s="59"/>
      <c r="AC92" s="23"/>
      <c r="AE92" s="15"/>
      <c r="AF92" s="16"/>
      <c r="CZ92" s="14"/>
      <c r="DA92" s="14"/>
      <c r="DB92" s="30"/>
      <c r="DC92" s="14"/>
    </row>
    <row r="93" spans="2:107" s="17" customFormat="1" ht="15" customHeight="1">
      <c r="B93" s="19"/>
      <c r="C93" s="54"/>
      <c r="D93" s="57"/>
      <c r="E93" s="57"/>
      <c r="F93" s="55"/>
      <c r="G93" s="56"/>
      <c r="H93" s="33" t="str">
        <f>INDEX(Language!$A$1:$AX$115,MATCH("Extra Time",Language!$B$1:$B$115,0),MATCH($G$2,Language!$A$1:$AW$1,0))</f>
        <v>Hosszabítás</v>
      </c>
      <c r="I93" s="55"/>
      <c r="J93" s="34"/>
      <c r="K93" s="35" t="s">
        <v>2180</v>
      </c>
      <c r="L93" s="34"/>
      <c r="M93" s="55"/>
      <c r="N93" s="121"/>
      <c r="O93" s="120"/>
      <c r="P93" s="19"/>
      <c r="Q93" s="55"/>
      <c r="R93" s="54"/>
      <c r="S93" s="55"/>
      <c r="T93" s="55"/>
      <c r="U93" s="55"/>
      <c r="V93" s="33" t="str">
        <f>INDEX(Language!$A$1:$AX$115,MATCH("Penalty Shoot Out",Language!$B$1:$B$115,0),MATCH($G$2,Language!$A$1:$AW$1,0))</f>
        <v>Büntetőrúgások</v>
      </c>
      <c r="W93" s="55"/>
      <c r="X93" s="34"/>
      <c r="Y93" s="35" t="s">
        <v>2180</v>
      </c>
      <c r="Z93" s="34"/>
      <c r="AA93" s="55"/>
      <c r="AB93" s="59"/>
      <c r="AC93" s="23"/>
      <c r="AE93" s="15"/>
      <c r="AF93" s="16"/>
      <c r="CZ93" s="14"/>
      <c r="DA93" s="14"/>
      <c r="DB93" s="30"/>
      <c r="DC93" s="14"/>
    </row>
    <row r="94" spans="2:107" s="17" customFormat="1" ht="15" customHeight="1">
      <c r="B94" s="19"/>
      <c r="C94" s="54"/>
      <c r="D94" s="57"/>
      <c r="E94" s="57"/>
      <c r="F94" s="55"/>
      <c r="G94" s="56"/>
      <c r="H94" s="33" t="str">
        <f>INDEX(Language!$A$1:$AX$115,MATCH("Penalty Shoot Out",Language!$B$1:$B$115,0),MATCH($G$2,Language!$A$1:$AW$1,0))</f>
        <v>Büntetőrúgások</v>
      </c>
      <c r="I94" s="55"/>
      <c r="J94" s="34"/>
      <c r="K94" s="35" t="s">
        <v>2180</v>
      </c>
      <c r="L94" s="34"/>
      <c r="M94" s="55"/>
      <c r="N94" s="121"/>
      <c r="O94" s="120"/>
      <c r="P94" s="19"/>
      <c r="Q94" s="55"/>
      <c r="R94" s="54"/>
      <c r="S94" s="55"/>
      <c r="T94" s="55"/>
      <c r="U94" s="55"/>
      <c r="V94" s="60"/>
      <c r="W94" s="55"/>
      <c r="X94" s="57"/>
      <c r="Y94" s="55"/>
      <c r="Z94" s="55"/>
      <c r="AA94" s="55"/>
      <c r="AB94" s="59"/>
      <c r="AC94" s="23"/>
      <c r="AE94" s="15"/>
      <c r="AF94" s="16"/>
      <c r="CZ94" s="14"/>
      <c r="DA94" s="14"/>
      <c r="DB94" s="30"/>
      <c r="DC94" s="14"/>
    </row>
    <row r="95" spans="2:107" s="17" customFormat="1" ht="15" customHeight="1">
      <c r="B95" s="19"/>
      <c r="C95" s="54"/>
      <c r="D95" s="57"/>
      <c r="E95" s="57"/>
      <c r="F95" s="55"/>
      <c r="G95" s="56"/>
      <c r="H95" s="60"/>
      <c r="I95" s="55"/>
      <c r="J95" s="57"/>
      <c r="K95" s="55"/>
      <c r="L95" s="55"/>
      <c r="M95" s="55"/>
      <c r="N95" s="121"/>
      <c r="O95" s="120"/>
      <c r="P95" s="19"/>
      <c r="Q95" s="55"/>
      <c r="R95" s="54"/>
      <c r="S95" s="55">
        <v>62</v>
      </c>
      <c r="T95" s="31">
        <f>U95</f>
        <v>41829.875</v>
      </c>
      <c r="U95" s="32">
        <f>'Countries and Timezone'!R63</f>
        <v>41829.875</v>
      </c>
      <c r="V95" s="100" t="str">
        <f>IF(AND(X77&lt;&gt;"",Z77&lt;&gt;"",X77&lt;&gt;Z77),IF(X77&gt;Z77,V77,AB77),INDEX(Language!$A$1:$AX$115,MATCH("Match 59 Winner",Language!$B$1:$B$115,0),MATCH($G$2,Language!$A$1:$AW$1,0)))</f>
        <v>59 mérkőzés győztese</v>
      </c>
      <c r="W95" s="55"/>
      <c r="X95" s="21" t="str">
        <f>IF(X96="","",IF(AND(X96=Z96,X96&lt;&gt;"",Z96&lt;&gt;""),IF(AND(X97=Z97,X97&lt;&gt;"",Z97&lt;&gt;""),IF(AND(X98=Z98,X98&lt;&gt;"",Z98&lt;&gt;""),"",X96+X97+X98),X96+X97),X96))</f>
        <v/>
      </c>
      <c r="Y95" s="35" t="s">
        <v>2180</v>
      </c>
      <c r="Z95" s="21" t="str">
        <f>IF(Z96="","",IF(AND(X96=Z96,X96&lt;&gt;"",Z96&lt;&gt;""),IF(AND(X97=Z97,X97&lt;&gt;"",Z97&lt;&gt;""),IF(AND(X98=Z98,X98&lt;&gt;"",Z98&lt;&gt;""),"",Z96+Z97+Z98),Z96+Z97),Z96))</f>
        <v/>
      </c>
      <c r="AA95" s="55"/>
      <c r="AB95" s="101" t="str">
        <f>IF(AND(X82&lt;&gt;"",Z82&lt;&gt;"",X82&lt;&gt;Z82),IF(X82&gt;Z82,V82,AB82),INDEX(Language!$A$1:$AX$115,MATCH("Match 60 Winner",Language!$B$1:$B$115,0),MATCH($G$2,Language!$A$1:$AW$1,0)))</f>
        <v>60 mérkőzés győztese</v>
      </c>
      <c r="AC95" s="23"/>
      <c r="AE95" s="15"/>
      <c r="AF95" s="16"/>
      <c r="CZ95" s="14"/>
      <c r="DA95" s="14"/>
      <c r="DB95" s="30"/>
      <c r="DC95" s="14"/>
    </row>
    <row r="96" spans="2:107" s="17" customFormat="1" ht="15" customHeight="1">
      <c r="B96" s="19"/>
      <c r="C96" s="54"/>
      <c r="D96" s="57"/>
      <c r="E96" s="57"/>
      <c r="F96" s="55"/>
      <c r="G96" s="56"/>
      <c r="H96" s="60"/>
      <c r="I96" s="55"/>
      <c r="J96" s="57"/>
      <c r="K96" s="55"/>
      <c r="L96" s="55"/>
      <c r="M96" s="55"/>
      <c r="N96" s="121"/>
      <c r="O96" s="120"/>
      <c r="P96" s="19"/>
      <c r="Q96" s="55"/>
      <c r="R96" s="54"/>
      <c r="S96" s="55"/>
      <c r="T96" s="55"/>
      <c r="U96" s="55"/>
      <c r="V96" s="33" t="str">
        <f>INDEX(Language!$A$1:$AX$115,MATCH("Normal Time",Language!$B$1:$B$115,0),MATCH($G$2,Language!$A$1:$AW$1,0))</f>
        <v>Rendes játékidő</v>
      </c>
      <c r="W96" s="55"/>
      <c r="X96" s="34"/>
      <c r="Y96" s="35" t="s">
        <v>2180</v>
      </c>
      <c r="Z96" s="34"/>
      <c r="AA96" s="55"/>
      <c r="AB96" s="59"/>
      <c r="AC96" s="23"/>
      <c r="AE96" s="15"/>
      <c r="AF96" s="16"/>
      <c r="CZ96" s="14"/>
      <c r="DA96" s="14"/>
      <c r="DB96" s="30"/>
      <c r="DC96" s="14"/>
    </row>
    <row r="97" spans="2:107" s="17" customFormat="1" ht="15" customHeight="1">
      <c r="B97" s="54"/>
      <c r="C97" s="54"/>
      <c r="D97" s="57">
        <v>54</v>
      </c>
      <c r="E97" s="57"/>
      <c r="F97" s="31">
        <f>G97</f>
        <v>41820.875</v>
      </c>
      <c r="G97" s="32">
        <f>'Countries and Timezone'!R55</f>
        <v>41820.875</v>
      </c>
      <c r="H97" s="100" t="str">
        <f>IF('Countries and Timezone'!$W$197=3,'Countries and Timezone'!$V$197,INDEX(Language!$A$1:$AX$115,MATCH("Group G Winner",Language!$B$1:$B$115,0),MATCH($G$2,Language!$A$1:$AW$1,0)))</f>
        <v>Németország</v>
      </c>
      <c r="I97" s="20"/>
      <c r="J97" s="21" t="str">
        <f>IF(J98="","",IF(AND(J98=L98,J98&lt;&gt;"",L98&lt;&gt;""),IF(AND(J99=L99,J99&lt;&gt;"",L99&lt;&gt;""),IF(AND(J100=L100,J100&lt;&gt;"",L100&lt;&gt;""),"",J98+J99+J100),J98+J99),J98))</f>
        <v/>
      </c>
      <c r="K97" s="35" t="s">
        <v>2180</v>
      </c>
      <c r="L97" s="21" t="str">
        <f>IF(L98="","",IF(AND(J98=L98,J98&lt;&gt;"",L98&lt;&gt;""),IF(AND(J99=L99,J99&lt;&gt;"",L99&lt;&gt;""),IF(AND(J100=L100,J100&lt;&gt;"",L100&lt;&gt;""),"",L98+L99+L100),L98+L99),L98))</f>
        <v/>
      </c>
      <c r="M97" s="20"/>
      <c r="N97" s="120" t="str">
        <f>IF('Countries and Timezone'!$W$204=3,'Countries and Timezone'!$V$204,INDEX(Language!$A$1:$AX$115,MATCH("Group H Runner Up",Language!$B$1:$B$115,0),MATCH($G$2,Language!$A$1:$AW$1,0)))</f>
        <v>Algéria</v>
      </c>
      <c r="O97" s="120"/>
      <c r="P97" s="19"/>
      <c r="Q97" s="55"/>
      <c r="R97" s="54"/>
      <c r="S97" s="55"/>
      <c r="T97" s="55"/>
      <c r="U97" s="55"/>
      <c r="V97" s="33" t="str">
        <f>INDEX(Language!$A$1:$AX$115,MATCH("Extra Time",Language!$B$1:$B$115,0),MATCH($G$2,Language!$A$1:$AW$1,0))</f>
        <v>Hosszabítás</v>
      </c>
      <c r="W97" s="55"/>
      <c r="X97" s="34"/>
      <c r="Y97" s="35" t="s">
        <v>2180</v>
      </c>
      <c r="Z97" s="34"/>
      <c r="AA97" s="55"/>
      <c r="AB97" s="59"/>
      <c r="AC97" s="23"/>
      <c r="AE97" s="15"/>
      <c r="AF97" s="16"/>
      <c r="CZ97" s="14"/>
      <c r="DA97" s="14"/>
      <c r="DB97" s="30"/>
      <c r="DC97" s="14"/>
    </row>
    <row r="98" spans="2:107" s="17" customFormat="1" ht="15" customHeight="1">
      <c r="B98" s="54"/>
      <c r="C98" s="54"/>
      <c r="D98" s="57"/>
      <c r="E98" s="57"/>
      <c r="F98" s="55"/>
      <c r="G98" s="56"/>
      <c r="H98" s="33" t="str">
        <f>INDEX(Language!$A$1:$AX$115,MATCH("Normal Time",Language!$B$1:$B$115,0),MATCH($G$2,Language!$A$1:$AW$1,0))</f>
        <v>Rendes játékidő</v>
      </c>
      <c r="I98" s="55"/>
      <c r="J98" s="34"/>
      <c r="K98" s="35" t="s">
        <v>2180</v>
      </c>
      <c r="L98" s="34"/>
      <c r="M98" s="55"/>
      <c r="N98" s="121"/>
      <c r="O98" s="120"/>
      <c r="P98" s="19"/>
      <c r="Q98" s="55"/>
      <c r="R98" s="54"/>
      <c r="S98" s="55"/>
      <c r="T98" s="55"/>
      <c r="U98" s="55"/>
      <c r="V98" s="33" t="str">
        <f>INDEX(Language!$A$1:$AX$115,MATCH("Penalty Shoot Out",Language!$B$1:$B$115,0),MATCH($G$2,Language!$A$1:$AW$1,0))</f>
        <v>Büntetőrúgások</v>
      </c>
      <c r="W98" s="55"/>
      <c r="X98" s="34"/>
      <c r="Y98" s="35" t="s">
        <v>2180</v>
      </c>
      <c r="Z98" s="34"/>
      <c r="AA98" s="55"/>
      <c r="AB98" s="59"/>
      <c r="AC98" s="23"/>
      <c r="AE98" s="15"/>
      <c r="AF98" s="16"/>
      <c r="CZ98" s="14"/>
      <c r="DA98" s="14"/>
      <c r="DB98" s="30"/>
      <c r="DC98" s="14"/>
    </row>
    <row r="99" spans="2:107" s="17" customFormat="1" ht="15" customHeight="1">
      <c r="B99" s="54"/>
      <c r="C99" s="54"/>
      <c r="D99" s="57"/>
      <c r="E99" s="57"/>
      <c r="F99" s="55"/>
      <c r="G99" s="56"/>
      <c r="H99" s="33" t="str">
        <f>INDEX(Language!$A$1:$AX$115,MATCH("Extra Time",Language!$B$1:$B$115,0),MATCH($G$2,Language!$A$1:$AW$1,0))</f>
        <v>Hosszabítás</v>
      </c>
      <c r="I99" s="55"/>
      <c r="J99" s="34"/>
      <c r="K99" s="35" t="s">
        <v>2180</v>
      </c>
      <c r="L99" s="34"/>
      <c r="M99" s="55"/>
      <c r="N99" s="121"/>
      <c r="O99" s="120"/>
      <c r="P99" s="19"/>
      <c r="Q99" s="55"/>
      <c r="R99" s="61"/>
      <c r="S99" s="62"/>
      <c r="T99" s="62"/>
      <c r="U99" s="62"/>
      <c r="V99" s="62"/>
      <c r="W99" s="62"/>
      <c r="X99" s="63"/>
      <c r="Y99" s="62"/>
      <c r="Z99" s="62"/>
      <c r="AA99" s="62"/>
      <c r="AB99" s="64"/>
      <c r="AC99" s="23"/>
      <c r="AE99" s="15"/>
      <c r="AF99" s="16"/>
      <c r="CZ99" s="14"/>
      <c r="DA99" s="14"/>
      <c r="DB99" s="30"/>
      <c r="DC99" s="14"/>
    </row>
    <row r="100" spans="2:107" s="17" customFormat="1" ht="15" customHeight="1">
      <c r="B100" s="54"/>
      <c r="C100" s="54"/>
      <c r="D100" s="57"/>
      <c r="E100" s="57"/>
      <c r="F100" s="55"/>
      <c r="G100" s="56"/>
      <c r="H100" s="33" t="str">
        <f>INDEX(Language!$A$1:$AX$115,MATCH("Penalty Shoot Out",Language!$B$1:$B$115,0),MATCH($G$2,Language!$A$1:$AW$1,0))</f>
        <v>Büntetőrúgások</v>
      </c>
      <c r="I100" s="55"/>
      <c r="J100" s="34"/>
      <c r="K100" s="35" t="s">
        <v>2180</v>
      </c>
      <c r="L100" s="34"/>
      <c r="M100" s="55"/>
      <c r="N100" s="121"/>
      <c r="O100" s="120"/>
      <c r="P100" s="19"/>
      <c r="Q100" s="55"/>
      <c r="R100" s="55"/>
      <c r="S100" s="55"/>
      <c r="T100" s="55"/>
      <c r="U100" s="55"/>
      <c r="V100" s="55"/>
      <c r="W100" s="55"/>
      <c r="X100" s="57"/>
      <c r="Y100" s="55"/>
      <c r="Z100" s="55"/>
      <c r="AA100" s="55"/>
      <c r="AB100" s="55"/>
      <c r="AC100" s="23"/>
      <c r="AE100" s="15"/>
      <c r="AF100" s="16"/>
      <c r="CZ100" s="14"/>
      <c r="DA100" s="14"/>
      <c r="DB100" s="30"/>
      <c r="DC100" s="14"/>
    </row>
    <row r="101" spans="2:107" s="17" customFormat="1" ht="15" customHeight="1">
      <c r="B101" s="54"/>
      <c r="C101" s="54"/>
      <c r="D101" s="57"/>
      <c r="E101" s="57"/>
      <c r="F101" s="55"/>
      <c r="G101" s="56"/>
      <c r="H101" s="60"/>
      <c r="I101" s="55"/>
      <c r="J101" s="57"/>
      <c r="K101" s="55"/>
      <c r="L101" s="55"/>
      <c r="M101" s="55"/>
      <c r="N101" s="121"/>
      <c r="O101" s="120"/>
      <c r="P101" s="19"/>
      <c r="Q101" s="20"/>
      <c r="R101" s="162" t="str">
        <f>INDEX(Language!$A$1:$AX$115,MATCH("Match for Third Place",Language!$B$1:$B$115,0),MATCH($G$2,Language!$A$1:$AW$1,0))</f>
        <v>3. helyért játszott mérkőzés</v>
      </c>
      <c r="S101" s="163"/>
      <c r="T101" s="163"/>
      <c r="U101" s="163"/>
      <c r="V101" s="163"/>
      <c r="W101" s="163"/>
      <c r="X101" s="163"/>
      <c r="Y101" s="163"/>
      <c r="Z101" s="163"/>
      <c r="AA101" s="163"/>
      <c r="AB101" s="164"/>
      <c r="AC101" s="23"/>
      <c r="AE101" s="15"/>
      <c r="AF101" s="16"/>
      <c r="CZ101" s="14"/>
      <c r="DA101" s="14"/>
      <c r="DB101" s="30"/>
      <c r="DC101" s="14"/>
    </row>
    <row r="102" spans="2:107" s="17" customFormat="1" ht="15" customHeight="1">
      <c r="B102" s="54"/>
      <c r="C102" s="54"/>
      <c r="D102" s="57"/>
      <c r="E102" s="57"/>
      <c r="F102" s="55"/>
      <c r="G102" s="56"/>
      <c r="H102" s="60"/>
      <c r="I102" s="55"/>
      <c r="J102" s="57"/>
      <c r="K102" s="55"/>
      <c r="L102" s="55"/>
      <c r="M102" s="55"/>
      <c r="N102" s="121"/>
      <c r="O102" s="120"/>
      <c r="P102" s="19"/>
      <c r="Q102" s="55"/>
      <c r="R102" s="54"/>
      <c r="S102" s="55"/>
      <c r="T102" s="55"/>
      <c r="U102" s="55"/>
      <c r="V102" s="55"/>
      <c r="W102" s="55"/>
      <c r="X102" s="57"/>
      <c r="Y102" s="55"/>
      <c r="Z102" s="55"/>
      <c r="AA102" s="55"/>
      <c r="AB102" s="58"/>
      <c r="AC102" s="23"/>
      <c r="AE102" s="15"/>
      <c r="AF102" s="16"/>
      <c r="CZ102" s="14"/>
      <c r="DA102" s="14"/>
      <c r="DB102" s="30"/>
      <c r="DC102" s="14"/>
    </row>
    <row r="103" spans="2:107" s="17" customFormat="1" ht="15" customHeight="1">
      <c r="B103" s="54"/>
      <c r="C103" s="54"/>
      <c r="D103" s="57">
        <v>55</v>
      </c>
      <c r="E103" s="57"/>
      <c r="F103" s="31">
        <f>G103</f>
        <v>41821.708333333328</v>
      </c>
      <c r="G103" s="32">
        <f>'Countries and Timezone'!R56</f>
        <v>41821.708333333328</v>
      </c>
      <c r="H103" s="100" t="str">
        <f>IF('Countries and Timezone'!$W$191=3,'Countries and Timezone'!$V$191,INDEX(Language!$A$1:$AX$115,MATCH("Group F Winner",Language!$B$1:$B$115,0),MATCH($G$2,Language!$A$1:$AW$1,0)))</f>
        <v>Argentína</v>
      </c>
      <c r="I103" s="20"/>
      <c r="J103" s="21" t="str">
        <f>IF(J104="","",IF(AND(J104=L104,J104&lt;&gt;"",L104&lt;&gt;""),IF(AND(J105=L105,J105&lt;&gt;"",L105&lt;&gt;""),IF(AND(J106=L106,J106&lt;&gt;"",L106&lt;&gt;""),"",J104+J105+J106),J104+J105),J104))</f>
        <v/>
      </c>
      <c r="K103" s="35" t="s">
        <v>2180</v>
      </c>
      <c r="L103" s="21" t="str">
        <f>IF(L104="","",IF(AND(J104=L104,J104&lt;&gt;"",L104&lt;&gt;""),IF(AND(J105=L105,J105&lt;&gt;"",L105&lt;&gt;""),IF(AND(J106=L106,J106&lt;&gt;"",L106&lt;&gt;""),"",L104+L105+L106),L104+L105),L104))</f>
        <v/>
      </c>
      <c r="M103" s="20"/>
      <c r="N103" s="120" t="str">
        <f>IF('Countries and Timezone'!$W$186=3,'Countries and Timezone'!$V$186,INDEX(Language!$A$1:$AX$115,MATCH("Group E Runner Up",Language!$B$1:$B$115,0),MATCH($G$2,Language!$A$1:$AW$1,0)))</f>
        <v>Svájc</v>
      </c>
      <c r="O103" s="120"/>
      <c r="P103" s="19"/>
      <c r="Q103" s="55"/>
      <c r="R103" s="54"/>
      <c r="S103" s="55">
        <v>63</v>
      </c>
      <c r="T103" s="31">
        <f>U103</f>
        <v>41832.875</v>
      </c>
      <c r="U103" s="32">
        <f>'Countries and Timezone'!R64</f>
        <v>41832.875</v>
      </c>
      <c r="V103" s="100" t="str">
        <f>IF(AND(X90&lt;&gt;"",Z90&lt;&gt;"",X90&lt;&gt;Z90),IF(X90&lt;Z90,V90,AB90),INDEX(Language!$A$1:$AX$115,MATCH("Match 61 Loser",Language!$B$1:$B$115,0),MATCH($G$2,Language!$A$1:$AW$1,0)))</f>
        <v>61. mérkőzés vesztese</v>
      </c>
      <c r="W103" s="55"/>
      <c r="X103" s="21" t="str">
        <f>IF(X104="","",IF(AND(X104=Z104,X104&lt;&gt;"",Z104&lt;&gt;""),IF(AND(X105=Z105,X105&lt;&gt;"",Z105&lt;&gt;""),IF(AND(X106=Z106,X106&lt;&gt;"",Z106&lt;&gt;""),"",X104+X105+X106),X104+X105),X104))</f>
        <v/>
      </c>
      <c r="Y103" s="35" t="s">
        <v>2180</v>
      </c>
      <c r="Z103" s="21" t="str">
        <f>IF(Z104="","",IF(AND(X104=Z104,X104&lt;&gt;"",Z104&lt;&gt;""),IF(AND(X105=Z105,X105&lt;&gt;"",Z105&lt;&gt;""),IF(AND(X106=Z106,X106&lt;&gt;"",Z106&lt;&gt;""),"",Z104+Z105+Z106),Z104+Z105),Z104))</f>
        <v/>
      </c>
      <c r="AA103" s="55"/>
      <c r="AB103" s="101" t="str">
        <f>IF(AND(X95&lt;&gt;"",Z95&lt;&gt;"",X95&lt;&gt;Z95),IF(X95&lt;Z95,V95,AB95),INDEX(Language!$A$1:$AX$115,MATCH("Match 62 Loser",Language!$B$1:$B$115,0),MATCH($G$2,Language!$A$1:$AW$1,0)))</f>
        <v>62. mérkőzés vesztese</v>
      </c>
      <c r="AC103" s="23"/>
      <c r="AE103" s="15"/>
      <c r="AF103" s="16"/>
      <c r="CZ103" s="14"/>
      <c r="DA103" s="14"/>
      <c r="DB103" s="30"/>
      <c r="DC103" s="14"/>
    </row>
    <row r="104" spans="2:107" s="17" customFormat="1" ht="15" customHeight="1">
      <c r="B104" s="54"/>
      <c r="C104" s="54"/>
      <c r="D104" s="57"/>
      <c r="E104" s="57"/>
      <c r="F104" s="55"/>
      <c r="G104" s="56"/>
      <c r="H104" s="33" t="str">
        <f>INDEX(Language!$A$1:$AX$115,MATCH("Normal Time",Language!$B$1:$B$115,0),MATCH($G$2,Language!$A$1:$AW$1,0))</f>
        <v>Rendes játékidő</v>
      </c>
      <c r="I104" s="55"/>
      <c r="J104" s="34"/>
      <c r="K104" s="35" t="s">
        <v>2180</v>
      </c>
      <c r="L104" s="34"/>
      <c r="M104" s="55"/>
      <c r="N104" s="121"/>
      <c r="O104" s="120"/>
      <c r="P104" s="19"/>
      <c r="Q104" s="55"/>
      <c r="R104" s="54"/>
      <c r="S104" s="55"/>
      <c r="T104" s="55"/>
      <c r="U104" s="55"/>
      <c r="V104" s="33" t="str">
        <f>INDEX(Language!$A$1:$AX$115,MATCH("Normal Time",Language!$B$1:$B$115,0),MATCH($G$2,Language!$A$1:$AW$1,0))</f>
        <v>Rendes játékidő</v>
      </c>
      <c r="W104" s="55"/>
      <c r="X104" s="34"/>
      <c r="Y104" s="35" t="s">
        <v>2180</v>
      </c>
      <c r="Z104" s="34"/>
      <c r="AA104" s="55"/>
      <c r="AB104" s="58"/>
      <c r="AC104" s="23"/>
      <c r="AE104" s="15"/>
      <c r="AF104" s="16"/>
      <c r="CZ104" s="14"/>
      <c r="DA104" s="14"/>
      <c r="DB104" s="30"/>
      <c r="DC104" s="14"/>
    </row>
    <row r="105" spans="2:107" s="17" customFormat="1" ht="15" customHeight="1">
      <c r="B105" s="54"/>
      <c r="C105" s="54"/>
      <c r="D105" s="57"/>
      <c r="E105" s="57"/>
      <c r="F105" s="55"/>
      <c r="G105" s="56"/>
      <c r="H105" s="33" t="str">
        <f>INDEX(Language!$A$1:$AX$115,MATCH("Extra Time",Language!$B$1:$B$115,0),MATCH($G$2,Language!$A$1:$AW$1,0))</f>
        <v>Hosszabítás</v>
      </c>
      <c r="I105" s="55"/>
      <c r="J105" s="34"/>
      <c r="K105" s="35" t="s">
        <v>2180</v>
      </c>
      <c r="L105" s="34"/>
      <c r="M105" s="55"/>
      <c r="N105" s="121"/>
      <c r="O105" s="120"/>
      <c r="P105" s="19"/>
      <c r="Q105" s="55"/>
      <c r="R105" s="54"/>
      <c r="S105" s="55"/>
      <c r="T105" s="55"/>
      <c r="U105" s="55"/>
      <c r="V105" s="33" t="str">
        <f>INDEX(Language!$A$1:$AX$115,MATCH("Extra Time",Language!$B$1:$B$115,0),MATCH($G$2,Language!$A$1:$AW$1,0))</f>
        <v>Hosszabítás</v>
      </c>
      <c r="W105" s="55"/>
      <c r="X105" s="34"/>
      <c r="Y105" s="35" t="s">
        <v>2180</v>
      </c>
      <c r="Z105" s="34"/>
      <c r="AA105" s="55"/>
      <c r="AB105" s="58"/>
      <c r="AC105" s="23"/>
      <c r="AE105" s="15"/>
      <c r="AF105" s="16"/>
      <c r="CZ105" s="14"/>
      <c r="DA105" s="14"/>
      <c r="DB105" s="30"/>
      <c r="DC105" s="14"/>
    </row>
    <row r="106" spans="2:107" s="17" customFormat="1" ht="15" customHeight="1">
      <c r="B106" s="54"/>
      <c r="C106" s="54"/>
      <c r="D106" s="57"/>
      <c r="E106" s="57"/>
      <c r="F106" s="55"/>
      <c r="G106" s="56"/>
      <c r="H106" s="33" t="str">
        <f>INDEX(Language!$A$1:$AX$115,MATCH("Penalty Shoot Out",Language!$B$1:$B$115,0),MATCH($G$2,Language!$A$1:$AW$1,0))</f>
        <v>Büntetőrúgások</v>
      </c>
      <c r="I106" s="55"/>
      <c r="J106" s="34"/>
      <c r="K106" s="35" t="s">
        <v>2180</v>
      </c>
      <c r="L106" s="34"/>
      <c r="M106" s="55"/>
      <c r="N106" s="121"/>
      <c r="O106" s="120"/>
      <c r="P106" s="19"/>
      <c r="Q106" s="55"/>
      <c r="R106" s="54"/>
      <c r="S106" s="55"/>
      <c r="T106" s="55"/>
      <c r="U106" s="55"/>
      <c r="V106" s="33" t="str">
        <f>INDEX(Language!$A$1:$AX$115,MATCH("Penalty Shoot Out",Language!$B$1:$B$115,0),MATCH($G$2,Language!$A$1:$AW$1,0))</f>
        <v>Büntetőrúgások</v>
      </c>
      <c r="W106" s="55"/>
      <c r="X106" s="34"/>
      <c r="Y106" s="35" t="s">
        <v>2180</v>
      </c>
      <c r="Z106" s="34"/>
      <c r="AA106" s="55"/>
      <c r="AB106" s="58"/>
      <c r="AC106" s="23"/>
      <c r="AE106" s="15"/>
      <c r="AF106" s="16"/>
      <c r="CZ106" s="14"/>
      <c r="DA106" s="14"/>
      <c r="DB106" s="30"/>
      <c r="DC106" s="14"/>
    </row>
    <row r="107" spans="2:107" s="17" customFormat="1" ht="15" customHeight="1">
      <c r="B107" s="54"/>
      <c r="C107" s="54"/>
      <c r="D107" s="57"/>
      <c r="E107" s="57"/>
      <c r="F107" s="55"/>
      <c r="G107" s="56"/>
      <c r="H107" s="60"/>
      <c r="I107" s="55"/>
      <c r="J107" s="57"/>
      <c r="K107" s="55"/>
      <c r="L107" s="55"/>
      <c r="M107" s="55"/>
      <c r="N107" s="121"/>
      <c r="O107" s="120"/>
      <c r="P107" s="19"/>
      <c r="Q107" s="55"/>
      <c r="R107" s="61"/>
      <c r="S107" s="62"/>
      <c r="T107" s="62"/>
      <c r="U107" s="62"/>
      <c r="V107" s="62"/>
      <c r="W107" s="62"/>
      <c r="X107" s="63"/>
      <c r="Y107" s="62"/>
      <c r="Z107" s="62"/>
      <c r="AA107" s="62"/>
      <c r="AB107" s="64"/>
      <c r="AC107" s="23"/>
      <c r="AE107" s="15"/>
      <c r="AF107" s="16"/>
      <c r="CZ107" s="14"/>
      <c r="DA107" s="14"/>
      <c r="DB107" s="30"/>
      <c r="DC107" s="14"/>
    </row>
    <row r="108" spans="2:107" s="17" customFormat="1" ht="15" customHeight="1">
      <c r="B108" s="54"/>
      <c r="C108" s="54"/>
      <c r="D108" s="57"/>
      <c r="E108" s="57"/>
      <c r="F108" s="55"/>
      <c r="G108" s="56"/>
      <c r="H108" s="60"/>
      <c r="I108" s="55"/>
      <c r="J108" s="57"/>
      <c r="K108" s="55"/>
      <c r="L108" s="55"/>
      <c r="M108" s="55"/>
      <c r="N108" s="121"/>
      <c r="O108" s="120"/>
      <c r="P108" s="19"/>
      <c r="Q108" s="55"/>
      <c r="R108" s="55"/>
      <c r="S108" s="55"/>
      <c r="T108" s="55"/>
      <c r="U108" s="55"/>
      <c r="V108" s="55"/>
      <c r="W108" s="55"/>
      <c r="X108" s="57"/>
      <c r="Y108" s="55"/>
      <c r="Z108" s="55"/>
      <c r="AA108" s="55"/>
      <c r="AB108" s="55"/>
      <c r="AC108" s="23"/>
      <c r="AE108" s="15"/>
      <c r="AF108" s="16"/>
      <c r="CZ108" s="14"/>
      <c r="DA108" s="14"/>
      <c r="DB108" s="30"/>
      <c r="DC108" s="14"/>
    </row>
    <row r="109" spans="2:107" s="17" customFormat="1" ht="15" customHeight="1">
      <c r="B109" s="54"/>
      <c r="C109" s="54"/>
      <c r="D109" s="57">
        <v>56</v>
      </c>
      <c r="E109" s="57"/>
      <c r="F109" s="31">
        <f>G109</f>
        <v>41821.875</v>
      </c>
      <c r="G109" s="32">
        <f>'Countries and Timezone'!R57</f>
        <v>41821.875</v>
      </c>
      <c r="H109" s="100" t="str">
        <f>IF('Countries and Timezone'!$W$203=3,'Countries and Timezone'!$V$203,INDEX(Language!$A$1:$AX$115,MATCH("Group H Winner",Language!$B$1:$B$115,0),MATCH($G$2,Language!$A$1:$AW$1,0)))</f>
        <v>Belgium</v>
      </c>
      <c r="I109" s="20"/>
      <c r="J109" s="21" t="str">
        <f>IF(J110="","",IF(AND(J110=L110,J110&lt;&gt;"",L110&lt;&gt;""),IF(AND(J111=L111,J111&lt;&gt;"",L111&lt;&gt;""),IF(AND(J112=L112,J112&lt;&gt;"",L112&lt;&gt;""),"",J110+J111+J112),J110+J111),J110))</f>
        <v/>
      </c>
      <c r="K109" s="35" t="s">
        <v>2180</v>
      </c>
      <c r="L109" s="21" t="str">
        <f>IF(L110="","",IF(AND(J110=L110,J110&lt;&gt;"",L110&lt;&gt;""),IF(AND(J111=L111,J111&lt;&gt;"",L111&lt;&gt;""),IF(AND(J112=L112,J112&lt;&gt;"",L112&lt;&gt;""),"",L110+L111+L112),L110+L111),L110))</f>
        <v/>
      </c>
      <c r="M109" s="20"/>
      <c r="N109" s="120" t="str">
        <f>IF('Countries and Timezone'!$W$198=3,'Countries and Timezone'!$V$198,INDEX(Language!$A$1:$AX$115,MATCH("Group G Runner Up",Language!$B$1:$B$115,0),MATCH($G$2,Language!$A$1:$AW$1,0)))</f>
        <v>Egyesült Államok</v>
      </c>
      <c r="O109" s="120"/>
      <c r="P109" s="19"/>
      <c r="Q109" s="20"/>
      <c r="R109" s="162" t="str">
        <f>INDEX(Language!$A$1:$AX$115,MATCH("Final",Language!$B$1:$B$115,0),MATCH($G$2,Language!$A$1:$AW$1,0))</f>
        <v>Döntő</v>
      </c>
      <c r="S109" s="163"/>
      <c r="T109" s="163"/>
      <c r="U109" s="163"/>
      <c r="V109" s="163"/>
      <c r="W109" s="163"/>
      <c r="X109" s="163"/>
      <c r="Y109" s="163"/>
      <c r="Z109" s="163"/>
      <c r="AA109" s="163"/>
      <c r="AB109" s="164"/>
      <c r="AC109" s="23"/>
      <c r="AE109" s="15"/>
      <c r="AF109" s="16"/>
      <c r="CZ109" s="14"/>
      <c r="DA109" s="14"/>
      <c r="DB109" s="30"/>
      <c r="DC109" s="14"/>
    </row>
    <row r="110" spans="2:107" s="17" customFormat="1" ht="15" customHeight="1">
      <c r="B110" s="54"/>
      <c r="C110" s="54"/>
      <c r="D110" s="57"/>
      <c r="E110" s="57"/>
      <c r="F110" s="55"/>
      <c r="G110" s="56"/>
      <c r="H110" s="33" t="str">
        <f>INDEX(Language!$A$1:$AX$115,MATCH("Normal Time",Language!$B$1:$B$115,0),MATCH($G$2,Language!$A$1:$AW$1,0))</f>
        <v>Rendes játékidő</v>
      </c>
      <c r="I110" s="55"/>
      <c r="J110" s="34"/>
      <c r="K110" s="35" t="s">
        <v>2180</v>
      </c>
      <c r="L110" s="34"/>
      <c r="M110" s="55"/>
      <c r="N110" s="55"/>
      <c r="O110" s="20"/>
      <c r="P110" s="19"/>
      <c r="Q110" s="55"/>
      <c r="R110" s="54"/>
      <c r="S110" s="55"/>
      <c r="T110" s="55"/>
      <c r="U110" s="55"/>
      <c r="V110" s="55"/>
      <c r="W110" s="55"/>
      <c r="X110" s="57"/>
      <c r="Y110" s="55"/>
      <c r="Z110" s="55"/>
      <c r="AA110" s="55"/>
      <c r="AB110" s="58"/>
      <c r="AC110" s="23"/>
      <c r="AE110" s="15"/>
      <c r="AF110" s="16"/>
      <c r="CZ110" s="14"/>
      <c r="DA110" s="14"/>
      <c r="DB110" s="30"/>
      <c r="DC110" s="14"/>
    </row>
    <row r="111" spans="2:107" s="17" customFormat="1" ht="15" customHeight="1">
      <c r="B111" s="54"/>
      <c r="C111" s="54"/>
      <c r="D111" s="57"/>
      <c r="E111" s="57"/>
      <c r="F111" s="55"/>
      <c r="G111" s="56"/>
      <c r="H111" s="33" t="str">
        <f>INDEX(Language!$A$1:$AX$115,MATCH("Extra Time",Language!$B$1:$B$115,0),MATCH($G$2,Language!$A$1:$AW$1,0))</f>
        <v>Hosszabítás</v>
      </c>
      <c r="I111" s="55"/>
      <c r="J111" s="34"/>
      <c r="K111" s="35" t="s">
        <v>2180</v>
      </c>
      <c r="L111" s="34"/>
      <c r="M111" s="55"/>
      <c r="N111" s="55"/>
      <c r="O111" s="20"/>
      <c r="P111" s="19"/>
      <c r="Q111" s="55"/>
      <c r="R111" s="54"/>
      <c r="S111" s="55">
        <v>64</v>
      </c>
      <c r="T111" s="31">
        <f>U111</f>
        <v>41833.833333333328</v>
      </c>
      <c r="U111" s="32">
        <f>'Countries and Timezone'!R65</f>
        <v>41833.833333333328</v>
      </c>
      <c r="V111" s="100" t="str">
        <f>IF(AND(X90&lt;&gt;"",Z90&lt;&gt;"",X90&lt;&gt;Z90),IF(X90&gt;Z90,V90,AB90),INDEX(Language!$A$1:$AX$115,MATCH("Match 61 Winner",Language!$B$1:$B$115,0),MATCH($G$2,Language!$A$1:$AW$1,0)))</f>
        <v>61 mérkőzés győztese</v>
      </c>
      <c r="W111" s="55"/>
      <c r="X111" s="21" t="str">
        <f>IF(X112="","",IF(AND(X112=Z112,X112&lt;&gt;"",Z112&lt;&gt;""),IF(AND(X113=Z113,X113&lt;&gt;"",Z113&lt;&gt;""),IF(AND(X114=Z114,X114&lt;&gt;"",Z114&lt;&gt;""),"",X112+X113+X114),X112+X113),X112))</f>
        <v/>
      </c>
      <c r="Y111" s="35" t="s">
        <v>2180</v>
      </c>
      <c r="Z111" s="21" t="str">
        <f>IF(Z112="","",IF(AND(X112=Z112,X112&lt;&gt;"",Z112&lt;&gt;""),IF(AND(X113=Z113,X113&lt;&gt;"",Z113&lt;&gt;""),IF(AND(X114=Z114,X114&lt;&gt;"",Z114&lt;&gt;""),"",Z112+Z113+Z114),Z112+Z113),Z112))</f>
        <v/>
      </c>
      <c r="AA111" s="55"/>
      <c r="AB111" s="101" t="str">
        <f>IF(AND(X95&lt;&gt;"",Z95&lt;&gt;"",X95&lt;&gt;Z95),IF(X95&gt;Z95,V95,AB95),INDEX(Language!$A$1:$AX$115,MATCH("Match 62 Winner",Language!$B$1:$B$115,0),MATCH($G$2,Language!$A$1:$AW$1,0)))</f>
        <v>62 mérkőzés győztese</v>
      </c>
      <c r="AC111" s="23"/>
      <c r="AE111" s="15"/>
      <c r="AF111" s="16"/>
      <c r="CZ111" s="14"/>
      <c r="DA111" s="14"/>
      <c r="DB111" s="30"/>
      <c r="DC111" s="14"/>
    </row>
    <row r="112" spans="2:107" s="17" customFormat="1" ht="15" customHeight="1">
      <c r="B112" s="54"/>
      <c r="C112" s="54"/>
      <c r="D112" s="57"/>
      <c r="E112" s="57"/>
      <c r="F112" s="55"/>
      <c r="G112" s="56"/>
      <c r="H112" s="33" t="str">
        <f>INDEX(Language!$A$1:$AX$115,MATCH("Penalty Shoot Out",Language!$B$1:$B$115,0),MATCH($G$2,Language!$A$1:$AW$1,0))</f>
        <v>Büntetőrúgások</v>
      </c>
      <c r="I112" s="55"/>
      <c r="J112" s="34"/>
      <c r="K112" s="35" t="s">
        <v>2180</v>
      </c>
      <c r="L112" s="34"/>
      <c r="M112" s="55"/>
      <c r="N112" s="55"/>
      <c r="O112" s="20"/>
      <c r="P112" s="19"/>
      <c r="Q112" s="55"/>
      <c r="R112" s="54"/>
      <c r="S112" s="55"/>
      <c r="T112" s="55"/>
      <c r="U112" s="55"/>
      <c r="V112" s="33" t="str">
        <f>INDEX(Language!$A$1:$AX$115,MATCH("Normal Time",Language!$B$1:$B$115,0),MATCH($G$2,Language!$A$1:$AW$1,0))</f>
        <v>Rendes játékidő</v>
      </c>
      <c r="W112" s="55"/>
      <c r="X112" s="34"/>
      <c r="Y112" s="35" t="s">
        <v>2180</v>
      </c>
      <c r="Z112" s="34"/>
      <c r="AA112" s="55"/>
      <c r="AB112" s="58"/>
      <c r="AC112" s="23"/>
      <c r="AE112" s="15"/>
      <c r="AF112" s="16"/>
      <c r="CZ112" s="14"/>
      <c r="DA112" s="14"/>
      <c r="DB112" s="30"/>
      <c r="DC112" s="14"/>
    </row>
    <row r="113" spans="2:107" s="17" customFormat="1" ht="15" customHeight="1">
      <c r="B113" s="54"/>
      <c r="C113" s="61"/>
      <c r="D113" s="62"/>
      <c r="E113" s="62"/>
      <c r="F113" s="62"/>
      <c r="G113" s="65"/>
      <c r="H113" s="62"/>
      <c r="I113" s="62"/>
      <c r="J113" s="63"/>
      <c r="K113" s="62"/>
      <c r="L113" s="62"/>
      <c r="M113" s="62"/>
      <c r="N113" s="62"/>
      <c r="O113" s="45"/>
      <c r="P113" s="19"/>
      <c r="Q113" s="55"/>
      <c r="R113" s="54"/>
      <c r="S113" s="55"/>
      <c r="T113" s="55"/>
      <c r="U113" s="55"/>
      <c r="V113" s="33" t="str">
        <f>INDEX(Language!$A$1:$AX$115,MATCH("Extra Time",Language!$B$1:$B$115,0),MATCH($G$2,Language!$A$1:$AW$1,0))</f>
        <v>Hosszabítás</v>
      </c>
      <c r="W113" s="55"/>
      <c r="X113" s="34"/>
      <c r="Y113" s="35" t="s">
        <v>2180</v>
      </c>
      <c r="Z113" s="34"/>
      <c r="AA113" s="55"/>
      <c r="AB113" s="58"/>
      <c r="AC113" s="23"/>
      <c r="AE113" s="15"/>
      <c r="AF113" s="16"/>
      <c r="CZ113" s="14"/>
      <c r="DA113" s="14"/>
      <c r="DB113" s="30"/>
      <c r="DC113" s="14"/>
    </row>
    <row r="114" spans="2:107" s="17" customFormat="1" ht="15" customHeight="1">
      <c r="B114" s="19"/>
      <c r="C114" s="66"/>
      <c r="D114" s="66"/>
      <c r="E114" s="66"/>
      <c r="F114" s="66"/>
      <c r="G114" s="66"/>
      <c r="H114" s="66"/>
      <c r="I114" s="66"/>
      <c r="J114" s="66"/>
      <c r="K114" s="66"/>
      <c r="L114" s="66"/>
      <c r="M114" s="66"/>
      <c r="N114" s="66"/>
      <c r="O114" s="66"/>
      <c r="P114" s="20"/>
      <c r="Q114" s="55"/>
      <c r="R114" s="54"/>
      <c r="S114" s="55"/>
      <c r="T114" s="55"/>
      <c r="U114" s="55"/>
      <c r="V114" s="33" t="str">
        <f>INDEX(Language!$A$1:$AX$115,MATCH("Penalty Shoot Out",Language!$B$1:$B$115,0),MATCH($G$2,Language!$A$1:$AW$1,0))</f>
        <v>Büntetőrúgások</v>
      </c>
      <c r="W114" s="55"/>
      <c r="X114" s="34"/>
      <c r="Y114" s="35" t="s">
        <v>2180</v>
      </c>
      <c r="Z114" s="34"/>
      <c r="AA114" s="55"/>
      <c r="AB114" s="58"/>
      <c r="AC114" s="23"/>
      <c r="AE114" s="15"/>
      <c r="AF114" s="16"/>
      <c r="CZ114" s="14"/>
      <c r="DA114" s="14"/>
      <c r="DB114" s="30"/>
      <c r="DC114" s="14"/>
    </row>
    <row r="115" spans="2:107" s="17" customFormat="1" ht="15" customHeight="1">
      <c r="B115" s="19"/>
      <c r="C115" s="66"/>
      <c r="D115" s="66"/>
      <c r="E115" s="66"/>
      <c r="F115" s="66"/>
      <c r="G115" s="66"/>
      <c r="H115" s="66"/>
      <c r="I115" s="66"/>
      <c r="J115" s="66"/>
      <c r="K115" s="66"/>
      <c r="L115" s="66"/>
      <c r="M115" s="66"/>
      <c r="N115" s="66"/>
      <c r="O115" s="66"/>
      <c r="P115" s="20"/>
      <c r="Q115" s="55"/>
      <c r="R115" s="61"/>
      <c r="S115" s="62"/>
      <c r="T115" s="62"/>
      <c r="U115" s="62"/>
      <c r="V115" s="62"/>
      <c r="W115" s="62"/>
      <c r="X115" s="63"/>
      <c r="Y115" s="62"/>
      <c r="Z115" s="62"/>
      <c r="AA115" s="62"/>
      <c r="AB115" s="64"/>
      <c r="AC115" s="23"/>
      <c r="AE115" s="15"/>
      <c r="AF115" s="16"/>
      <c r="CZ115" s="14"/>
      <c r="DA115" s="14"/>
      <c r="DB115" s="30"/>
      <c r="DC115" s="14"/>
    </row>
    <row r="116" spans="2:107" s="17" customFormat="1" ht="15" customHeight="1">
      <c r="B116" s="44"/>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3"/>
      <c r="AE116" s="15"/>
      <c r="AF116" s="16"/>
      <c r="CZ116" s="14"/>
      <c r="DA116" s="14"/>
      <c r="DB116" s="30"/>
      <c r="DC116" s="14"/>
    </row>
    <row r="117" spans="2:107" s="17" customFormat="1" ht="15" customHeight="1">
      <c r="B117" s="67"/>
      <c r="C117" s="68"/>
      <c r="D117" s="68"/>
      <c r="E117" s="68"/>
      <c r="F117" s="68"/>
      <c r="G117" s="69"/>
      <c r="H117" s="68"/>
      <c r="I117" s="68"/>
      <c r="J117" s="68"/>
      <c r="K117" s="70"/>
      <c r="L117" s="68"/>
      <c r="M117" s="68"/>
      <c r="N117" s="68"/>
      <c r="O117" s="68"/>
      <c r="P117" s="68"/>
      <c r="Q117" s="68"/>
      <c r="R117" s="68"/>
      <c r="S117" s="68"/>
      <c r="T117" s="68"/>
      <c r="U117" s="68"/>
      <c r="V117" s="68"/>
      <c r="W117" s="68"/>
      <c r="X117" s="68"/>
      <c r="Y117" s="68"/>
      <c r="Z117" s="68"/>
      <c r="AA117" s="68"/>
      <c r="AB117" s="66"/>
      <c r="AC117" s="71"/>
      <c r="AE117" s="15"/>
      <c r="AF117" s="16"/>
      <c r="CZ117" s="14"/>
      <c r="DA117" s="14"/>
      <c r="DB117" s="30"/>
      <c r="DC117" s="14"/>
    </row>
    <row r="118" spans="2:107" s="17" customFormat="1" ht="15" customHeight="1">
      <c r="B118" s="72"/>
      <c r="C118" s="73"/>
      <c r="D118" s="74"/>
      <c r="E118" s="74"/>
      <c r="F118" s="74" t="str">
        <f>INDEX(Language!$A$1:$AX$115,MATCH("World Cup 2014 Champion",Language!$B$1:$B$115,0),MATCH($G$2,Language!$A$1:$AW$1,0))</f>
        <v>2014 futball világbajnoka</v>
      </c>
      <c r="G118" s="75"/>
      <c r="H118" s="73"/>
      <c r="I118" s="73"/>
      <c r="J118" s="73"/>
      <c r="K118" s="76"/>
      <c r="L118" s="73"/>
      <c r="M118" s="73"/>
      <c r="N118" s="77" t="str">
        <f>UPPER(IF(AND(X111&lt;&gt;"",Z111&lt;&gt;"",X111&lt;&gt;Z111),IF(X111&gt;Z111,V111,AB111),INDEX(Language!$A$1:$AX$115,MATCH("Match 64 Winner",Language!$B$1:$B$115,0),MATCH($G$2,Language!$A$1:$AW$1,0))))</f>
        <v>64 MÉRKŐZÉS GYŐZTESE</v>
      </c>
      <c r="O118" s="73"/>
      <c r="P118" s="73"/>
      <c r="Q118" s="73"/>
      <c r="R118" s="73"/>
      <c r="S118" s="73"/>
      <c r="T118" s="73"/>
      <c r="U118" s="73"/>
      <c r="V118" s="73"/>
      <c r="W118" s="73"/>
      <c r="X118" s="73"/>
      <c r="Y118" s="73"/>
      <c r="Z118" s="73"/>
      <c r="AA118" s="73"/>
      <c r="AB118" s="66"/>
      <c r="AC118" s="71"/>
      <c r="AE118" s="15"/>
      <c r="AF118" s="16"/>
      <c r="CZ118" s="14"/>
      <c r="DA118" s="14"/>
      <c r="DB118" s="30"/>
      <c r="DC118" s="14"/>
    </row>
    <row r="119" spans="2:107" s="17" customFormat="1" ht="15" customHeight="1">
      <c r="B119" s="78"/>
      <c r="C119" s="79"/>
      <c r="D119" s="79"/>
      <c r="E119" s="79"/>
      <c r="F119" s="79"/>
      <c r="G119" s="80"/>
      <c r="H119" s="79"/>
      <c r="I119" s="79"/>
      <c r="J119" s="79"/>
      <c r="K119" s="81"/>
      <c r="L119" s="79"/>
      <c r="M119" s="79"/>
      <c r="N119" s="79"/>
      <c r="O119" s="79"/>
      <c r="P119" s="79"/>
      <c r="Q119" s="79"/>
      <c r="R119" s="79"/>
      <c r="S119" s="79"/>
      <c r="T119" s="79"/>
      <c r="U119" s="79"/>
      <c r="V119" s="79"/>
      <c r="W119" s="79"/>
      <c r="X119" s="79"/>
      <c r="Y119" s="79"/>
      <c r="Z119" s="79"/>
      <c r="AA119" s="79"/>
      <c r="AB119" s="66"/>
      <c r="AC119" s="71"/>
      <c r="AE119" s="15"/>
      <c r="AF119" s="16"/>
      <c r="CZ119" s="14"/>
      <c r="DA119" s="14"/>
      <c r="DB119" s="30"/>
      <c r="DC119" s="14"/>
    </row>
    <row r="120" spans="2:107" s="17" customFormat="1" ht="15" customHeight="1">
      <c r="O120" s="20"/>
      <c r="P120" s="20"/>
      <c r="Q120" s="20"/>
      <c r="R120" s="20"/>
      <c r="S120" s="20"/>
      <c r="T120" s="20"/>
      <c r="U120" s="20"/>
      <c r="V120" s="20"/>
      <c r="W120" s="20"/>
      <c r="X120" s="20"/>
      <c r="Y120" s="20"/>
      <c r="Z120" s="20"/>
      <c r="AA120" s="20"/>
      <c r="AC120" s="14"/>
      <c r="AE120" s="15"/>
      <c r="AF120" s="16"/>
      <c r="CZ120" s="14"/>
      <c r="DA120" s="14"/>
      <c r="DB120" s="30"/>
      <c r="DC120" s="14"/>
    </row>
    <row r="121" spans="2:107" s="17" customFormat="1" ht="15" customHeight="1">
      <c r="O121" s="20"/>
      <c r="P121" s="20"/>
      <c r="Q121" s="20"/>
      <c r="R121" s="20"/>
      <c r="S121" s="20"/>
      <c r="T121" s="20"/>
      <c r="U121" s="20"/>
      <c r="V121" s="20"/>
      <c r="W121" s="20"/>
      <c r="X121" s="20"/>
      <c r="Y121" s="20"/>
      <c r="Z121" s="20"/>
      <c r="AA121" s="20"/>
      <c r="AC121" s="14"/>
      <c r="AE121" s="15"/>
      <c r="AF121" s="16"/>
      <c r="CZ121" s="14"/>
      <c r="DA121" s="14"/>
      <c r="DB121" s="30"/>
      <c r="DC121" s="14"/>
    </row>
    <row r="122" spans="2:107" s="17" customFormat="1" ht="15" hidden="1" customHeight="1">
      <c r="O122" s="20"/>
      <c r="P122" s="20"/>
      <c r="Q122" s="20"/>
      <c r="R122" s="20"/>
      <c r="S122" s="20"/>
      <c r="Z122" s="20"/>
      <c r="AA122" s="20"/>
      <c r="AC122" s="14"/>
      <c r="AE122" s="15"/>
      <c r="AF122" s="16"/>
      <c r="CZ122" s="14"/>
      <c r="DA122" s="14"/>
      <c r="DB122" s="30"/>
      <c r="DC122" s="14"/>
    </row>
    <row r="123" spans="2:107" s="17" customFormat="1" ht="15" hidden="1" customHeight="1">
      <c r="O123" s="20"/>
      <c r="P123" s="20"/>
      <c r="Q123" s="20"/>
      <c r="R123" s="20"/>
      <c r="S123" s="20"/>
      <c r="Z123" s="20"/>
      <c r="AA123" s="20"/>
      <c r="AC123" s="14"/>
      <c r="AE123" s="15"/>
      <c r="AF123" s="16"/>
      <c r="CZ123" s="14"/>
      <c r="DA123" s="14"/>
      <c r="DB123" s="30"/>
      <c r="DC123" s="14"/>
    </row>
    <row r="124" spans="2:107" s="17" customFormat="1" ht="15" hidden="1" customHeight="1">
      <c r="O124" s="20"/>
      <c r="P124" s="20"/>
      <c r="Q124" s="20"/>
      <c r="R124" s="20"/>
      <c r="S124" s="20"/>
      <c r="Z124" s="20"/>
      <c r="AA124" s="20"/>
      <c r="AC124" s="14"/>
      <c r="AE124" s="15"/>
      <c r="AF124" s="16"/>
      <c r="CZ124" s="14"/>
      <c r="DA124" s="14"/>
      <c r="DB124" s="30"/>
      <c r="DC124" s="14"/>
    </row>
    <row r="125" spans="2:107" s="17" customFormat="1" ht="15" hidden="1" customHeight="1">
      <c r="O125" s="20"/>
      <c r="P125" s="20"/>
      <c r="Q125" s="20"/>
      <c r="R125" s="20"/>
      <c r="S125" s="20"/>
      <c r="T125" s="20"/>
      <c r="U125" s="20"/>
      <c r="V125" s="20"/>
      <c r="W125" s="20"/>
      <c r="X125" s="20"/>
      <c r="Y125" s="20"/>
      <c r="Z125" s="20"/>
      <c r="AA125" s="20"/>
      <c r="AC125" s="14"/>
      <c r="AE125" s="15"/>
      <c r="AF125" s="16"/>
      <c r="CZ125" s="14"/>
      <c r="DA125" s="14"/>
      <c r="DB125" s="30"/>
      <c r="DC125" s="14"/>
    </row>
    <row r="126" spans="2:107" s="17" customFormat="1" ht="15" hidden="1" customHeight="1">
      <c r="O126" s="20"/>
      <c r="P126" s="20"/>
      <c r="Q126" s="20"/>
      <c r="R126" s="20"/>
      <c r="S126" s="20"/>
      <c r="T126" s="20"/>
      <c r="U126" s="20"/>
      <c r="V126" s="20"/>
      <c r="W126" s="20"/>
      <c r="X126" s="20"/>
      <c r="Y126" s="20"/>
      <c r="Z126" s="20"/>
      <c r="AA126" s="20"/>
      <c r="AC126" s="14"/>
      <c r="AE126" s="15"/>
      <c r="AF126" s="16"/>
      <c r="CZ126" s="14"/>
      <c r="DA126" s="14"/>
      <c r="DB126" s="30"/>
      <c r="DC126" s="14"/>
    </row>
    <row r="127" spans="2:107" s="17" customFormat="1" ht="15" hidden="1" customHeight="1">
      <c r="O127" s="20"/>
      <c r="P127" s="20"/>
      <c r="Q127" s="20"/>
      <c r="R127" s="20"/>
      <c r="S127" s="20"/>
      <c r="T127" s="20"/>
      <c r="U127" s="20"/>
      <c r="V127" s="20"/>
      <c r="W127" s="20"/>
      <c r="X127" s="20"/>
      <c r="Y127" s="20"/>
      <c r="Z127" s="20"/>
      <c r="AA127" s="20"/>
      <c r="AC127" s="14"/>
      <c r="AE127" s="15"/>
      <c r="AF127" s="16"/>
      <c r="CZ127" s="14"/>
      <c r="DA127" s="14"/>
      <c r="DB127" s="30"/>
      <c r="DC127" s="14"/>
    </row>
    <row r="128" spans="2:107" s="17" customFormat="1" ht="15" hidden="1" customHeight="1">
      <c r="O128" s="20"/>
      <c r="P128" s="20"/>
      <c r="Q128" s="20"/>
      <c r="R128" s="20"/>
      <c r="S128" s="20"/>
      <c r="Z128" s="20"/>
      <c r="AA128" s="20"/>
      <c r="AC128" s="14"/>
      <c r="AE128" s="15"/>
      <c r="AF128" s="16"/>
      <c r="CZ128" s="14"/>
      <c r="DA128" s="14"/>
      <c r="DB128" s="30"/>
      <c r="DC128" s="14"/>
    </row>
    <row r="129" spans="15:107" s="17" customFormat="1" ht="15" hidden="1" customHeight="1">
      <c r="O129" s="20"/>
      <c r="P129" s="20"/>
      <c r="Q129" s="20"/>
      <c r="R129" s="20"/>
      <c r="S129" s="20"/>
      <c r="Z129" s="20"/>
      <c r="AA129" s="20"/>
      <c r="AC129" s="14"/>
      <c r="AE129" s="15"/>
      <c r="AF129" s="16"/>
      <c r="CZ129" s="14"/>
      <c r="DA129" s="14"/>
      <c r="DB129" s="30"/>
      <c r="DC129" s="14"/>
    </row>
    <row r="130" spans="15:107" s="17" customFormat="1" ht="15" hidden="1" customHeight="1">
      <c r="O130" s="20"/>
      <c r="P130" s="20"/>
      <c r="Q130" s="20"/>
      <c r="R130" s="20"/>
      <c r="S130" s="20"/>
      <c r="Z130" s="20"/>
      <c r="AA130" s="20"/>
      <c r="AC130" s="14"/>
      <c r="AE130" s="15"/>
      <c r="AF130" s="16"/>
      <c r="CZ130" s="14"/>
      <c r="DA130" s="14"/>
      <c r="DB130" s="30"/>
      <c r="DC130" s="14"/>
    </row>
    <row r="131" spans="15:107" s="17" customFormat="1" ht="15" hidden="1" customHeight="1">
      <c r="O131" s="20"/>
      <c r="P131" s="20"/>
      <c r="Q131" s="20"/>
      <c r="R131" s="20"/>
      <c r="S131" s="20"/>
      <c r="T131" s="20"/>
      <c r="U131" s="20"/>
      <c r="V131" s="20"/>
      <c r="W131" s="20"/>
      <c r="X131" s="20"/>
      <c r="Y131" s="20"/>
      <c r="Z131" s="20"/>
      <c r="AA131" s="20"/>
      <c r="AC131" s="14"/>
      <c r="AE131" s="15"/>
      <c r="AF131" s="16"/>
      <c r="CZ131" s="14"/>
      <c r="DA131" s="14"/>
      <c r="DB131" s="30"/>
      <c r="DC131" s="14"/>
    </row>
    <row r="132" spans="15:107" s="17" customFormat="1" ht="15" hidden="1" customHeight="1">
      <c r="O132" s="20"/>
      <c r="P132" s="20"/>
      <c r="Q132" s="20"/>
      <c r="R132" s="20"/>
      <c r="S132" s="20"/>
      <c r="T132" s="20"/>
      <c r="U132" s="20"/>
      <c r="V132" s="20"/>
      <c r="W132" s="20"/>
      <c r="X132" s="20"/>
      <c r="Y132" s="20"/>
      <c r="Z132" s="20"/>
      <c r="AA132" s="20"/>
      <c r="AC132" s="14"/>
      <c r="AE132" s="15"/>
      <c r="AF132" s="16"/>
      <c r="CZ132" s="14"/>
      <c r="DA132" s="14"/>
      <c r="DB132" s="30"/>
      <c r="DC132" s="14"/>
    </row>
    <row r="133" spans="15:107" s="17" customFormat="1" ht="15" hidden="1" customHeight="1">
      <c r="O133" s="20"/>
      <c r="P133" s="20"/>
      <c r="Q133" s="20"/>
      <c r="R133" s="20"/>
      <c r="S133" s="20"/>
      <c r="T133" s="20"/>
      <c r="U133" s="20"/>
      <c r="V133" s="20"/>
      <c r="W133" s="20"/>
      <c r="X133" s="20"/>
      <c r="Y133" s="20"/>
      <c r="Z133" s="20"/>
      <c r="AA133" s="20"/>
      <c r="AC133" s="14"/>
      <c r="AE133" s="15"/>
      <c r="AF133" s="16"/>
      <c r="CZ133" s="14"/>
      <c r="DA133" s="14"/>
      <c r="DB133" s="30"/>
      <c r="DC133" s="14"/>
    </row>
    <row r="134" spans="15:107" s="17" customFormat="1" ht="15" hidden="1" customHeight="1">
      <c r="O134" s="20"/>
      <c r="P134" s="20"/>
      <c r="Q134" s="20"/>
      <c r="R134" s="20"/>
      <c r="S134" s="20"/>
      <c r="Z134" s="20"/>
      <c r="AA134" s="20"/>
      <c r="AC134" s="14"/>
      <c r="AE134" s="15"/>
      <c r="AF134" s="16"/>
      <c r="CZ134" s="14"/>
      <c r="DA134" s="14"/>
      <c r="DB134" s="30"/>
      <c r="DC134" s="14"/>
    </row>
    <row r="135" spans="15:107" s="17" customFormat="1" ht="15" hidden="1" customHeight="1">
      <c r="O135" s="20"/>
      <c r="P135" s="20"/>
      <c r="Q135" s="20"/>
      <c r="R135" s="20"/>
      <c r="S135" s="20"/>
      <c r="Z135" s="20"/>
      <c r="AA135" s="20"/>
      <c r="AC135" s="14"/>
      <c r="AE135" s="15"/>
      <c r="AF135" s="16"/>
      <c r="CZ135" s="14"/>
      <c r="DA135" s="14"/>
      <c r="DB135" s="30"/>
      <c r="DC135" s="14"/>
    </row>
    <row r="136" spans="15:107" s="17" customFormat="1" ht="15" hidden="1" customHeight="1">
      <c r="O136" s="20"/>
      <c r="P136" s="20"/>
      <c r="Q136" s="20"/>
      <c r="R136" s="20"/>
      <c r="S136" s="20"/>
      <c r="Z136" s="20"/>
      <c r="AA136" s="20"/>
      <c r="AC136" s="14"/>
      <c r="AE136" s="15"/>
      <c r="AF136" s="16"/>
      <c r="CZ136" s="14"/>
      <c r="DA136" s="14"/>
      <c r="DB136" s="30"/>
      <c r="DC136" s="14"/>
    </row>
    <row r="137" spans="15:107" s="17" customFormat="1" ht="15" hidden="1" customHeight="1">
      <c r="O137" s="20"/>
      <c r="P137" s="20"/>
      <c r="Q137" s="20"/>
      <c r="R137" s="20"/>
      <c r="S137" s="20"/>
      <c r="T137" s="20"/>
      <c r="U137" s="20"/>
      <c r="V137" s="20"/>
      <c r="W137" s="20"/>
      <c r="X137" s="20"/>
      <c r="Y137" s="20"/>
      <c r="Z137" s="20"/>
      <c r="AA137" s="20"/>
      <c r="AC137" s="14"/>
      <c r="AE137" s="15"/>
      <c r="AF137" s="16"/>
      <c r="CZ137" s="14"/>
      <c r="DA137" s="14"/>
      <c r="DB137" s="30"/>
      <c r="DC137" s="14"/>
    </row>
    <row r="138" spans="15:107" s="17" customFormat="1" ht="15" hidden="1" customHeight="1">
      <c r="O138" s="20"/>
      <c r="P138" s="20"/>
      <c r="Q138" s="20"/>
      <c r="R138" s="20"/>
      <c r="S138" s="20"/>
      <c r="T138" s="20"/>
      <c r="U138" s="20"/>
      <c r="V138" s="20"/>
      <c r="W138" s="20"/>
      <c r="X138" s="20"/>
      <c r="Y138" s="20"/>
      <c r="Z138" s="20"/>
      <c r="AA138" s="20"/>
      <c r="AC138" s="14"/>
      <c r="AE138" s="15"/>
      <c r="AF138" s="16"/>
      <c r="CZ138" s="14"/>
      <c r="DA138" s="14"/>
      <c r="DB138" s="30"/>
      <c r="DC138" s="14"/>
    </row>
    <row r="139" spans="15:107" s="17" customFormat="1" ht="15" hidden="1" customHeight="1">
      <c r="O139" s="20"/>
      <c r="P139" s="20"/>
      <c r="Q139" s="20"/>
      <c r="R139" s="20"/>
      <c r="S139" s="20"/>
      <c r="T139" s="20"/>
      <c r="U139" s="20"/>
      <c r="V139" s="20"/>
      <c r="W139" s="20"/>
      <c r="X139" s="20"/>
      <c r="Y139" s="20"/>
      <c r="Z139" s="20"/>
      <c r="AA139" s="20"/>
      <c r="AC139" s="14"/>
      <c r="AE139" s="15"/>
      <c r="AF139" s="16"/>
      <c r="CZ139" s="14"/>
      <c r="DA139" s="14"/>
      <c r="DB139" s="30"/>
      <c r="DC139" s="14"/>
    </row>
    <row r="140" spans="15:107" s="17" customFormat="1" ht="15" hidden="1" customHeight="1">
      <c r="O140" s="20"/>
      <c r="P140" s="20"/>
      <c r="Q140" s="20"/>
      <c r="R140" s="20"/>
      <c r="S140" s="20"/>
      <c r="Z140" s="20"/>
      <c r="AA140" s="20"/>
      <c r="AC140" s="14"/>
      <c r="AE140" s="15"/>
      <c r="AF140" s="16"/>
      <c r="CZ140" s="14"/>
      <c r="DA140" s="14"/>
      <c r="DB140" s="30"/>
      <c r="DC140" s="14"/>
    </row>
    <row r="141" spans="15:107" s="17" customFormat="1" ht="15" hidden="1" customHeight="1">
      <c r="O141" s="20"/>
      <c r="P141" s="20"/>
      <c r="Q141" s="20"/>
      <c r="R141" s="20"/>
      <c r="S141" s="20"/>
      <c r="Z141" s="20"/>
      <c r="AA141" s="20"/>
      <c r="AC141" s="14"/>
      <c r="AE141" s="15"/>
      <c r="AF141" s="16"/>
      <c r="CZ141" s="14"/>
      <c r="DA141" s="14"/>
      <c r="DB141" s="30"/>
      <c r="DC141" s="14"/>
    </row>
    <row r="142" spans="15:107" s="17" customFormat="1" ht="15" hidden="1" customHeight="1">
      <c r="O142" s="20"/>
      <c r="P142" s="20"/>
      <c r="Q142" s="20"/>
      <c r="R142" s="20"/>
      <c r="S142" s="20"/>
      <c r="Z142" s="20"/>
      <c r="AA142" s="20"/>
      <c r="AC142" s="14"/>
      <c r="AE142" s="15"/>
      <c r="AF142" s="16"/>
      <c r="CZ142" s="14"/>
      <c r="DA142" s="14"/>
      <c r="DB142" s="30"/>
      <c r="DC142" s="14"/>
    </row>
    <row r="143" spans="15:107" s="17" customFormat="1" ht="15" hidden="1" customHeight="1">
      <c r="O143" s="20"/>
      <c r="P143" s="20"/>
      <c r="Q143" s="20"/>
      <c r="R143" s="20"/>
      <c r="S143" s="20"/>
      <c r="T143" s="20"/>
      <c r="U143" s="20"/>
      <c r="V143" s="20"/>
      <c r="W143" s="20"/>
      <c r="X143" s="20"/>
      <c r="Y143" s="20"/>
      <c r="Z143" s="20"/>
      <c r="AA143" s="20"/>
      <c r="AC143" s="14"/>
      <c r="AE143" s="15"/>
      <c r="AF143" s="16"/>
      <c r="CZ143" s="14"/>
      <c r="DA143" s="14"/>
      <c r="DB143" s="30"/>
      <c r="DC143" s="14"/>
    </row>
    <row r="144" spans="15:107" s="17" customFormat="1" ht="15" hidden="1" customHeight="1">
      <c r="O144" s="20"/>
      <c r="P144" s="20"/>
      <c r="Q144" s="20"/>
      <c r="R144" s="20"/>
      <c r="S144" s="20"/>
      <c r="T144" s="20"/>
      <c r="U144" s="20"/>
      <c r="V144" s="20"/>
      <c r="W144" s="20"/>
      <c r="X144" s="20"/>
      <c r="Y144" s="20"/>
      <c r="Z144" s="20"/>
      <c r="AA144" s="20"/>
      <c r="AC144" s="14"/>
      <c r="AE144" s="15"/>
      <c r="AF144" s="16"/>
      <c r="CZ144" s="14"/>
      <c r="DA144" s="14"/>
      <c r="DB144" s="30"/>
      <c r="DC144" s="14"/>
    </row>
    <row r="145" spans="15:107" s="17" customFormat="1" ht="15" hidden="1" customHeight="1">
      <c r="O145" s="20"/>
      <c r="P145" s="20"/>
      <c r="Q145" s="20"/>
      <c r="R145" s="20"/>
      <c r="S145" s="20"/>
      <c r="T145" s="20"/>
      <c r="U145" s="20"/>
      <c r="V145" s="20"/>
      <c r="W145" s="20"/>
      <c r="X145" s="20"/>
      <c r="Y145" s="20"/>
      <c r="Z145" s="20"/>
      <c r="AA145" s="20"/>
      <c r="AC145" s="14"/>
      <c r="AE145" s="15"/>
      <c r="AF145" s="16"/>
      <c r="CZ145" s="14"/>
      <c r="DA145" s="14"/>
      <c r="DB145" s="30"/>
      <c r="DC145" s="14"/>
    </row>
    <row r="146" spans="15:107" s="17" customFormat="1" ht="15" hidden="1" customHeight="1">
      <c r="O146" s="20"/>
      <c r="P146" s="20"/>
      <c r="Q146" s="20"/>
      <c r="R146" s="20"/>
      <c r="S146" s="20"/>
      <c r="Z146" s="20"/>
      <c r="AA146" s="20"/>
      <c r="AC146" s="14"/>
      <c r="AE146" s="15"/>
      <c r="AF146" s="16"/>
      <c r="CZ146" s="14"/>
      <c r="DA146" s="14"/>
      <c r="DB146" s="30"/>
      <c r="DC146" s="14"/>
    </row>
    <row r="147" spans="15:107" s="17" customFormat="1" ht="15" hidden="1" customHeight="1">
      <c r="O147" s="20"/>
      <c r="P147" s="20"/>
      <c r="Q147" s="20"/>
      <c r="R147" s="20"/>
      <c r="S147" s="20"/>
      <c r="Z147" s="20"/>
      <c r="AA147" s="20"/>
      <c r="AC147" s="14"/>
      <c r="AE147" s="15"/>
      <c r="AF147" s="16"/>
      <c r="CZ147" s="14"/>
      <c r="DA147" s="14"/>
      <c r="DB147" s="30"/>
      <c r="DC147" s="14"/>
    </row>
    <row r="148" spans="15:107" s="17" customFormat="1" ht="15" hidden="1" customHeight="1">
      <c r="O148" s="20"/>
      <c r="P148" s="20"/>
      <c r="Q148" s="20"/>
      <c r="R148" s="20"/>
      <c r="S148" s="20"/>
      <c r="Z148" s="20"/>
      <c r="AA148" s="20"/>
      <c r="AC148" s="14"/>
      <c r="AE148" s="15"/>
      <c r="AF148" s="16"/>
      <c r="CZ148" s="14"/>
      <c r="DA148" s="14"/>
      <c r="DB148" s="30"/>
      <c r="DC148" s="14"/>
    </row>
    <row r="149" spans="15:107" s="17" customFormat="1" ht="15" hidden="1" customHeight="1">
      <c r="O149" s="20"/>
      <c r="P149" s="20"/>
      <c r="Q149" s="20"/>
      <c r="R149" s="20"/>
      <c r="S149" s="20"/>
      <c r="T149" s="20"/>
      <c r="U149" s="20"/>
      <c r="V149" s="20"/>
      <c r="W149" s="20"/>
      <c r="X149" s="20"/>
      <c r="Y149" s="20"/>
      <c r="Z149" s="20"/>
      <c r="AA149" s="20"/>
      <c r="AC149" s="14"/>
      <c r="AE149" s="15"/>
      <c r="AF149" s="16"/>
      <c r="CZ149" s="14"/>
      <c r="DA149" s="14"/>
      <c r="DB149" s="30"/>
      <c r="DC149" s="14"/>
    </row>
    <row r="150" spans="15:107" s="17" customFormat="1" ht="15" hidden="1" customHeight="1">
      <c r="O150" s="20"/>
      <c r="P150" s="20"/>
      <c r="Q150" s="20"/>
      <c r="R150" s="20"/>
      <c r="S150" s="20"/>
      <c r="T150" s="20"/>
      <c r="U150" s="20"/>
      <c r="V150" s="20"/>
      <c r="W150" s="20"/>
      <c r="X150" s="20"/>
      <c r="Y150" s="20"/>
      <c r="Z150" s="20"/>
      <c r="AA150" s="20"/>
      <c r="AC150" s="14"/>
      <c r="AE150" s="15"/>
      <c r="AF150" s="16"/>
      <c r="CZ150" s="14"/>
      <c r="DA150" s="14"/>
      <c r="DB150" s="30"/>
      <c r="DC150" s="14"/>
    </row>
    <row r="151" spans="15:107" s="17" customFormat="1" ht="15" hidden="1" customHeight="1">
      <c r="O151" s="20"/>
      <c r="P151" s="20"/>
      <c r="Q151" s="20"/>
      <c r="R151" s="20"/>
      <c r="S151" s="20"/>
      <c r="T151" s="20"/>
      <c r="U151" s="20"/>
      <c r="V151" s="20"/>
      <c r="W151" s="20"/>
      <c r="X151" s="20"/>
      <c r="Y151" s="20"/>
      <c r="Z151" s="20"/>
      <c r="AA151" s="20"/>
      <c r="AC151" s="14"/>
      <c r="AE151" s="15"/>
      <c r="AF151" s="16"/>
      <c r="CZ151" s="14"/>
      <c r="DA151" s="14"/>
      <c r="DB151" s="30"/>
      <c r="DC151" s="14"/>
    </row>
    <row r="152" spans="15:107" s="17" customFormat="1" ht="15" hidden="1" customHeight="1">
      <c r="O152" s="20"/>
      <c r="P152" s="20"/>
      <c r="Q152" s="20"/>
      <c r="R152" s="20"/>
      <c r="S152" s="20"/>
      <c r="Z152" s="20"/>
      <c r="AA152" s="20"/>
      <c r="AC152" s="14"/>
      <c r="AE152" s="15"/>
      <c r="AF152" s="16"/>
      <c r="CZ152" s="14"/>
      <c r="DA152" s="14"/>
      <c r="DB152" s="30"/>
      <c r="DC152" s="14"/>
    </row>
    <row r="153" spans="15:107" s="17" customFormat="1" ht="15" hidden="1" customHeight="1">
      <c r="O153" s="20"/>
      <c r="P153" s="20"/>
      <c r="Q153" s="20"/>
      <c r="R153" s="20"/>
      <c r="S153" s="20"/>
      <c r="Z153" s="20"/>
      <c r="AA153" s="20"/>
      <c r="AC153" s="14"/>
      <c r="AE153" s="15"/>
      <c r="AF153" s="16"/>
      <c r="CZ153" s="14"/>
      <c r="DA153" s="14"/>
      <c r="DB153" s="30"/>
      <c r="DC153" s="14"/>
    </row>
    <row r="154" spans="15:107" s="17" customFormat="1" ht="15" hidden="1" customHeight="1">
      <c r="O154" s="20"/>
      <c r="P154" s="20"/>
      <c r="Q154" s="20"/>
      <c r="R154" s="20"/>
      <c r="S154" s="20"/>
      <c r="Z154" s="20"/>
      <c r="AA154" s="20"/>
      <c r="AC154" s="14"/>
      <c r="AE154" s="15"/>
      <c r="AF154" s="16"/>
      <c r="CZ154" s="14"/>
      <c r="DA154" s="14"/>
      <c r="DB154" s="30"/>
      <c r="DC154" s="14"/>
    </row>
    <row r="155" spans="15:107" s="17" customFormat="1" ht="15" hidden="1" customHeight="1">
      <c r="O155" s="20"/>
      <c r="P155" s="20"/>
      <c r="Q155" s="20"/>
      <c r="R155" s="20"/>
      <c r="S155" s="20"/>
      <c r="T155" s="20"/>
      <c r="U155" s="20"/>
      <c r="V155" s="20"/>
      <c r="W155" s="20"/>
      <c r="X155" s="20"/>
      <c r="Y155" s="20"/>
      <c r="Z155" s="20"/>
      <c r="AA155" s="20"/>
      <c r="AC155" s="14"/>
      <c r="AE155" s="15"/>
      <c r="AF155" s="16"/>
      <c r="CZ155" s="14"/>
      <c r="DA155" s="14"/>
      <c r="DB155" s="30"/>
      <c r="DC155" s="14"/>
    </row>
    <row r="156" spans="15:107" s="17" customFormat="1" ht="15" hidden="1" customHeight="1">
      <c r="O156" s="20"/>
      <c r="P156" s="20"/>
      <c r="Q156" s="20"/>
      <c r="R156" s="20"/>
      <c r="S156" s="20"/>
      <c r="T156" s="20"/>
      <c r="U156" s="20"/>
      <c r="V156" s="20"/>
      <c r="W156" s="20"/>
      <c r="X156" s="20"/>
      <c r="Y156" s="20"/>
      <c r="Z156" s="20"/>
      <c r="AA156" s="20"/>
      <c r="AC156" s="14"/>
      <c r="AE156" s="15"/>
      <c r="AF156" s="16"/>
      <c r="CZ156" s="14"/>
      <c r="DA156" s="14"/>
      <c r="DB156" s="30"/>
      <c r="DC156" s="14"/>
    </row>
    <row r="157" spans="15:107" s="17" customFormat="1" ht="15" hidden="1" customHeight="1">
      <c r="O157" s="20"/>
      <c r="P157" s="20"/>
      <c r="Q157" s="20"/>
      <c r="R157" s="20"/>
      <c r="S157" s="20"/>
      <c r="T157" s="20"/>
      <c r="U157" s="20"/>
      <c r="V157" s="20"/>
      <c r="W157" s="20"/>
      <c r="X157" s="20"/>
      <c r="Y157" s="20"/>
      <c r="Z157" s="20"/>
      <c r="AA157" s="20"/>
      <c r="AC157" s="14"/>
      <c r="AE157" s="15"/>
      <c r="AF157" s="16"/>
      <c r="CZ157" s="14"/>
      <c r="DA157" s="14"/>
      <c r="DB157" s="30" t="s">
        <v>247</v>
      </c>
      <c r="DC157" s="14"/>
    </row>
    <row r="158" spans="15:107" s="17" customFormat="1" ht="15" hidden="1" customHeight="1">
      <c r="O158" s="20"/>
      <c r="P158" s="20"/>
      <c r="Q158" s="20"/>
      <c r="R158" s="20"/>
      <c r="S158" s="20"/>
      <c r="Z158" s="20"/>
      <c r="AA158" s="20"/>
      <c r="AC158" s="14"/>
      <c r="AE158" s="15"/>
      <c r="AF158" s="16"/>
      <c r="CZ158" s="14"/>
      <c r="DA158" s="14"/>
      <c r="DB158" s="30" t="s">
        <v>248</v>
      </c>
      <c r="DC158" s="14"/>
    </row>
    <row r="159" spans="15:107" s="17" customFormat="1" ht="15" hidden="1" customHeight="1">
      <c r="O159" s="20"/>
      <c r="P159" s="20"/>
      <c r="Q159" s="20"/>
      <c r="R159" s="20"/>
      <c r="S159" s="20"/>
      <c r="Z159" s="20"/>
      <c r="AA159" s="20"/>
      <c r="AC159" s="14"/>
      <c r="AE159" s="15"/>
      <c r="AF159" s="16"/>
      <c r="CZ159" s="14"/>
      <c r="DA159" s="14"/>
      <c r="DB159" s="30" t="s">
        <v>249</v>
      </c>
      <c r="DC159" s="14"/>
    </row>
    <row r="160" spans="15:107" s="17" customFormat="1" ht="15" hidden="1" customHeight="1">
      <c r="O160" s="20"/>
      <c r="P160" s="20"/>
      <c r="Q160" s="82"/>
      <c r="R160" s="82"/>
      <c r="S160" s="82"/>
      <c r="T160" s="82"/>
      <c r="U160" s="82"/>
      <c r="V160" s="82"/>
      <c r="W160" s="82"/>
      <c r="X160" s="82"/>
      <c r="Y160" s="82"/>
      <c r="Z160" s="82"/>
      <c r="AA160" s="82"/>
      <c r="AC160" s="14"/>
      <c r="AE160" s="15"/>
      <c r="AF160" s="16"/>
      <c r="CZ160" s="14"/>
      <c r="DA160" s="14"/>
      <c r="DB160" s="30" t="s">
        <v>250</v>
      </c>
      <c r="DC160" s="14"/>
    </row>
    <row r="161" spans="2:107" s="17" customFormat="1" ht="15" hidden="1" customHeight="1">
      <c r="O161" s="20"/>
      <c r="P161" s="20"/>
      <c r="Q161" s="42"/>
      <c r="R161" s="42"/>
      <c r="S161" s="42"/>
      <c r="T161" s="42"/>
      <c r="U161" s="42"/>
      <c r="V161" s="42"/>
      <c r="W161" s="42"/>
      <c r="X161" s="42"/>
      <c r="Y161" s="42"/>
      <c r="Z161" s="42"/>
      <c r="AA161" s="42"/>
      <c r="AC161" s="14"/>
      <c r="AE161" s="15"/>
      <c r="AF161" s="16"/>
      <c r="CZ161" s="14"/>
      <c r="DA161" s="14"/>
      <c r="DB161" s="30" t="s">
        <v>251</v>
      </c>
      <c r="DC161" s="14"/>
    </row>
    <row r="162" spans="2:107" s="17" customFormat="1" ht="15" hidden="1" customHeight="1">
      <c r="B162" s="20"/>
      <c r="C162" s="20"/>
      <c r="D162" s="20"/>
      <c r="E162" s="20"/>
      <c r="F162" s="20"/>
      <c r="G162" s="20"/>
      <c r="H162" s="20"/>
      <c r="I162" s="20"/>
      <c r="J162" s="20"/>
      <c r="K162" s="21"/>
      <c r="L162" s="20"/>
      <c r="M162" s="20"/>
      <c r="N162" s="20"/>
      <c r="O162" s="20"/>
      <c r="P162" s="20"/>
      <c r="Q162" s="42"/>
      <c r="R162" s="42"/>
      <c r="S162" s="42"/>
      <c r="T162" s="42"/>
      <c r="U162" s="42"/>
      <c r="V162" s="42"/>
      <c r="W162" s="42"/>
      <c r="X162" s="42"/>
      <c r="Y162" s="42"/>
      <c r="Z162" s="42"/>
      <c r="AA162" s="42"/>
      <c r="AC162" s="14"/>
      <c r="AE162" s="15"/>
      <c r="AF162" s="16"/>
      <c r="CZ162" s="14"/>
      <c r="DA162" s="14"/>
      <c r="DB162" s="30" t="s">
        <v>252</v>
      </c>
      <c r="DC162" s="14"/>
    </row>
    <row r="163" spans="2:107" s="17" customFormat="1" ht="15" hidden="1" customHeight="1">
      <c r="B163" s="20"/>
      <c r="C163" s="20"/>
      <c r="D163" s="20"/>
      <c r="E163" s="20"/>
      <c r="F163" s="20"/>
      <c r="G163" s="20"/>
      <c r="H163" s="20"/>
      <c r="I163" s="20"/>
      <c r="J163" s="20"/>
      <c r="K163" s="21"/>
      <c r="L163" s="20"/>
      <c r="M163" s="20"/>
      <c r="N163" s="20"/>
      <c r="O163" s="20"/>
      <c r="P163" s="20"/>
      <c r="Q163" s="42"/>
      <c r="R163" s="42"/>
      <c r="S163" s="42"/>
      <c r="T163" s="42"/>
      <c r="U163" s="42"/>
      <c r="V163" s="42"/>
      <c r="W163" s="42"/>
      <c r="X163" s="42"/>
      <c r="Y163" s="42"/>
      <c r="Z163" s="42"/>
      <c r="AA163" s="42"/>
      <c r="AC163" s="14"/>
      <c r="AE163" s="15"/>
      <c r="AF163" s="16"/>
      <c r="CZ163" s="14"/>
      <c r="DA163" s="14"/>
      <c r="DB163" s="30" t="s">
        <v>253</v>
      </c>
      <c r="DC163" s="14"/>
    </row>
  </sheetData>
  <sheetProtection password="CE4F" sheet="1" objects="1" scenarios="1" formatCells="0" formatColumns="0" formatRows="0" insertColumns="0" insertRows="0" deleteColumns="0" deleteRows="0" sort="0" autoFilter="0" pivotTables="0"/>
  <mergeCells count="12">
    <mergeCell ref="R101:AB101"/>
    <mergeCell ref="R109:AB109"/>
    <mergeCell ref="C10:O10"/>
    <mergeCell ref="J12:L12"/>
    <mergeCell ref="C65:O65"/>
    <mergeCell ref="R65:AB65"/>
    <mergeCell ref="R88:AB88"/>
    <mergeCell ref="B8:AC8"/>
    <mergeCell ref="N2:AC4"/>
    <mergeCell ref="B6:AC6"/>
    <mergeCell ref="G2:K2"/>
    <mergeCell ref="G4:K4"/>
  </mergeCells>
  <phoneticPr fontId="1" type="noConversion"/>
  <conditionalFormatting sqref="H67 H73 H79 H85 H91 H97 H103 H109 V67 V72 V77 V82 V90 V95 V103 V111 H14:H61">
    <cfRule type="expression" dxfId="28" priority="1" stopIfTrue="1">
      <formula>J14&gt;L14</formula>
    </cfRule>
    <cfRule type="expression" dxfId="27" priority="2" stopIfTrue="1">
      <formula>J14&lt;L14</formula>
    </cfRule>
  </conditionalFormatting>
  <conditionalFormatting sqref="N67 N73 N79 N85 N91 N97 N103 N109 AB67 AB72 AB77 AB82 AB90 AB95 AB103 AB111 N14:N61">
    <cfRule type="expression" dxfId="26" priority="3" stopIfTrue="1">
      <formula>L14&gt;J14</formula>
    </cfRule>
    <cfRule type="expression" dxfId="25" priority="4" stopIfTrue="1">
      <formula>L14&lt;J14</formula>
    </cfRule>
  </conditionalFormatting>
  <conditionalFormatting sqref="J67 J73 J79 J85 J91 J97 J103 J109 X67 X72 X77 X82 X90 X95 X111 X103">
    <cfRule type="expression" dxfId="24" priority="5" stopIfTrue="1">
      <formula>J67&gt;L67</formula>
    </cfRule>
    <cfRule type="expression" dxfId="23" priority="6" stopIfTrue="1">
      <formula>J67&lt;L67</formula>
    </cfRule>
  </conditionalFormatting>
  <conditionalFormatting sqref="L67 L73 L79 L85 L91 L97 L103 L109 Z67 Z72 Z77 Z82 Z90 Z95 Z111 Z103">
    <cfRule type="expression" dxfId="22" priority="7" stopIfTrue="1">
      <formula>L67&gt;J67</formula>
    </cfRule>
    <cfRule type="expression" dxfId="21" priority="8" stopIfTrue="1">
      <formula>L67&lt;J67</formula>
    </cfRule>
  </conditionalFormatting>
  <conditionalFormatting sqref="X68:X70 Z68:Z70 X73:X75 Z73:Z75 X78:X80 Z78:Z80 X83:X85 Z83:Z85 X91:X93 Z91:Z93 X96:X98 Z96:Z98 X104:X106 Z104:Z106 X112:X114 Z112:Z114 J110:J112 L110:L112 J68:J70 L68:L70 J74:J76 L74:L76 J80:J82 L80:L82 J86:J88 L86:L88 J92:J94 L92:L94 J98:J100 L98:L100 J104:J106 L104:L106 J14:J61 L14:L61">
    <cfRule type="expression" dxfId="20" priority="9" stopIfTrue="1">
      <formula>ISBLANK(J14)</formula>
    </cfRule>
  </conditionalFormatting>
  <conditionalFormatting sqref="AE12:AF12">
    <cfRule type="expression" dxfId="19" priority="10" stopIfTrue="1">
      <formula>AND(GroupA=12,$AE13&lt;&gt;"")</formula>
    </cfRule>
  </conditionalFormatting>
  <conditionalFormatting sqref="AE13:AF16">
    <cfRule type="expression" dxfId="18" priority="11" stopIfTrue="1">
      <formula>AND(GroupA=12,$AE13&lt;&gt;"")</formula>
    </cfRule>
  </conditionalFormatting>
  <conditionalFormatting sqref="AE18:AF18">
    <cfRule type="expression" dxfId="17" priority="12" stopIfTrue="1">
      <formula>AND(GroupB=12,$AE19&lt;&gt;"")</formula>
    </cfRule>
  </conditionalFormatting>
  <conditionalFormatting sqref="AE19:AF22">
    <cfRule type="expression" dxfId="16" priority="13" stopIfTrue="1">
      <formula>AND(GroupB=12,$AE19&lt;&gt;"")</formula>
    </cfRule>
  </conditionalFormatting>
  <conditionalFormatting sqref="AE24:AF24">
    <cfRule type="expression" dxfId="15" priority="14" stopIfTrue="1">
      <formula>AND(GroupC=12,$AE25&lt;&gt;"")</formula>
    </cfRule>
  </conditionalFormatting>
  <conditionalFormatting sqref="AE25:AF28">
    <cfRule type="expression" dxfId="14" priority="15" stopIfTrue="1">
      <formula>AND(GroupC=12,$AE25&lt;&gt;"")</formula>
    </cfRule>
  </conditionalFormatting>
  <conditionalFormatting sqref="AE30:AF30">
    <cfRule type="expression" dxfId="13" priority="16" stopIfTrue="1">
      <formula>AND(GroupD=12,$AE31&lt;&gt;"")</formula>
    </cfRule>
  </conditionalFormatting>
  <conditionalFormatting sqref="AE31:AF34">
    <cfRule type="expression" dxfId="12" priority="17" stopIfTrue="1">
      <formula>AND(GroupD=12,$AE31&lt;&gt;"")</formula>
    </cfRule>
  </conditionalFormatting>
  <conditionalFormatting sqref="AE36:AF36">
    <cfRule type="expression" dxfId="11" priority="18" stopIfTrue="1">
      <formula>AND(GroupE=12,$AE37&lt;&gt;"")</formula>
    </cfRule>
  </conditionalFormatting>
  <conditionalFormatting sqref="AE37:AF40">
    <cfRule type="expression" dxfId="10" priority="19" stopIfTrue="1">
      <formula>AND(GroupE=12,$AE37&lt;&gt;"")</formula>
    </cfRule>
  </conditionalFormatting>
  <conditionalFormatting sqref="AE42:AF42">
    <cfRule type="expression" dxfId="9" priority="20" stopIfTrue="1">
      <formula>AND(GroupF=12,$AE43&lt;&gt;"")</formula>
    </cfRule>
  </conditionalFormatting>
  <conditionalFormatting sqref="AE43:AF46">
    <cfRule type="expression" dxfId="8" priority="21" stopIfTrue="1">
      <formula>AND(GroupF=12,$AE43&lt;&gt;"")</formula>
    </cfRule>
  </conditionalFormatting>
  <conditionalFormatting sqref="AE48:AF48">
    <cfRule type="expression" dxfId="7" priority="22" stopIfTrue="1">
      <formula>AND(GroupG=12,$AE49&lt;&gt;"")</formula>
    </cfRule>
  </conditionalFormatting>
  <conditionalFormatting sqref="AE49:AF52">
    <cfRule type="expression" dxfId="6" priority="23" stopIfTrue="1">
      <formula>AND(GroupG=12,$AE49&lt;&gt;"")</formula>
    </cfRule>
  </conditionalFormatting>
  <conditionalFormatting sqref="AE54:AF54">
    <cfRule type="expression" dxfId="5" priority="24" stopIfTrue="1">
      <formula>AND(GroupH=12,$AE55&lt;&gt;"")</formula>
    </cfRule>
  </conditionalFormatting>
  <conditionalFormatting sqref="AE55:AF58">
    <cfRule type="expression" dxfId="4" priority="25" stopIfTrue="1">
      <formula>AND(GroupH=12,$AE55&lt;&gt;"")</formula>
    </cfRule>
  </conditionalFormatting>
  <dataValidations count="2">
    <dataValidation type="list" allowBlank="1" showInputMessage="1" showErrorMessage="1" sqref="G4">
      <formula1>Cities</formula1>
    </dataValidation>
    <dataValidation type="list" allowBlank="1" showInputMessage="1" showErrorMessage="1" sqref="G2">
      <formula1>Countries</formula1>
    </dataValidation>
  </dataValidations>
  <hyperlinks>
    <hyperlink ref="S2:Y4" r:id="rId1" display="VISIT WWW.EXCELTEMPLATE.NET FOR MORE TEMPLATES"/>
    <hyperlink ref="N2" r:id="rId2" display="VISIT WWW.EXCELTEMPLATE.NET FOR MORE TEMPLATES AND UPDATES"/>
    <hyperlink ref="N2:AC4" r:id="rId3" display="http://exceltemplate.net/"/>
  </hyperlinks>
  <printOptions horizontalCentered="1" verticalCentered="1"/>
  <pageMargins left="0.39" right="0.32" top="0.28999999999999998" bottom="0.39" header="0.21" footer="0.26"/>
  <pageSetup scale="43" orientation="portrait" horizontalDpi="300" verticalDpi="300" r:id="rId4"/>
  <headerFooter alignWithMargins="0">
    <oddFooter>&amp;C
copyright (c) exceltemplate.net 2010</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07"/>
  <sheetViews>
    <sheetView showGridLines="0" topLeftCell="E1" zoomScale="80" zoomScaleNormal="80" workbookViewId="0">
      <selection activeCell="V14" sqref="V14"/>
    </sheetView>
  </sheetViews>
  <sheetFormatPr defaultColWidth="9.140625" defaultRowHeight="15" customHeight="1"/>
  <cols>
    <col min="1" max="1" width="9.85546875" style="1" customWidth="1"/>
    <col min="2" max="2" width="5.85546875" style="98" customWidth="1"/>
    <col min="3" max="3" width="23" style="1" customWidth="1"/>
    <col min="4" max="4" width="30.85546875" style="1" customWidth="1"/>
    <col min="5" max="5" width="40.7109375" style="1" customWidth="1"/>
    <col min="6" max="6" width="4.7109375" style="1" bestFit="1" customWidth="1"/>
    <col min="7" max="8" width="9.28515625" style="1" bestFit="1" customWidth="1"/>
    <col min="9" max="9" width="9.28515625" style="3" bestFit="1" customWidth="1"/>
    <col min="10" max="10" width="9.140625" style="3"/>
    <col min="11" max="15" width="9.28515625" style="3" bestFit="1" customWidth="1"/>
    <col min="16" max="16" width="9.28515625" style="154" bestFit="1" customWidth="1"/>
    <col min="17" max="18" width="12.5703125" style="154" bestFit="1" customWidth="1"/>
    <col min="19" max="19" width="9.140625" style="1"/>
    <col min="20" max="20" width="2.42578125" style="2" customWidth="1"/>
    <col min="21" max="21" width="4.28515625" style="2" customWidth="1"/>
    <col min="22" max="22" width="19.28515625" style="2" customWidth="1"/>
    <col min="23" max="26" width="9.28515625" style="2" bestFit="1" customWidth="1"/>
    <col min="27" max="27" width="9.140625" style="2"/>
    <col min="28" max="28" width="9.28515625" style="2" bestFit="1" customWidth="1"/>
    <col min="29" max="29" width="2.42578125" style="2" customWidth="1"/>
    <col min="30" max="30" width="9.140625" style="1"/>
    <col min="31" max="31" width="9.28515625" style="1" bestFit="1" customWidth="1"/>
    <col min="32" max="16384" width="9.140625" style="1"/>
  </cols>
  <sheetData>
    <row r="1" spans="1:33" ht="15" customHeight="1">
      <c r="I1" s="4"/>
      <c r="J1" s="4"/>
      <c r="K1" s="5"/>
      <c r="L1" s="4"/>
      <c r="M1" s="4"/>
      <c r="N1" s="4"/>
      <c r="O1" s="4"/>
      <c r="P1" s="119"/>
      <c r="Q1" s="152"/>
      <c r="R1" s="119"/>
    </row>
    <row r="2" spans="1:33" s="104" customFormat="1" ht="15" customHeight="1">
      <c r="B2" s="136"/>
      <c r="G2" s="104">
        <v>-5</v>
      </c>
      <c r="H2" s="104">
        <f t="shared" ref="H2:H12" si="0">IF(K2&gt;0,ABS($G$2)+K2,K2-$G$2)</f>
        <v>11</v>
      </c>
      <c r="I2" s="119">
        <v>1</v>
      </c>
      <c r="J2" s="137" t="s">
        <v>217</v>
      </c>
      <c r="K2" s="137">
        <v>6</v>
      </c>
      <c r="L2" s="138">
        <v>0.25</v>
      </c>
      <c r="M2" s="139">
        <f>VLOOKUP(Tournament!G4,'Countries and Timezone'!J2:K145,2,FALSE)</f>
        <v>4</v>
      </c>
      <c r="N2" s="140">
        <f>VLOOKUP(Tournament!G4,'Countries and Timezone'!J2:L145,3,FALSE)</f>
        <v>0.16666666666666666</v>
      </c>
      <c r="O2" s="141">
        <v>1</v>
      </c>
      <c r="P2" s="142">
        <f t="shared" ref="P2:P33" si="1">Q2</f>
        <v>41802.708333333336</v>
      </c>
      <c r="Q2" s="143">
        <v>41802.708333333336</v>
      </c>
      <c r="R2" s="144">
        <f t="shared" ref="R2:R33" si="2">IF(M$2&gt;0,Q2+N$2,Q2-N$2)</f>
        <v>41802.875</v>
      </c>
      <c r="T2" s="145"/>
      <c r="U2" s="145"/>
      <c r="V2" s="145"/>
      <c r="W2" s="145"/>
      <c r="X2" s="145"/>
      <c r="Y2" s="145"/>
      <c r="Z2" s="145"/>
      <c r="AA2" s="145"/>
      <c r="AB2" s="145"/>
      <c r="AC2" s="145"/>
    </row>
    <row r="3" spans="1:33" s="104" customFormat="1" ht="15" customHeight="1">
      <c r="B3" s="136"/>
      <c r="H3" s="104">
        <f t="shared" si="0"/>
        <v>17.5</v>
      </c>
      <c r="I3" s="119">
        <v>2</v>
      </c>
      <c r="J3" s="137" t="s">
        <v>218</v>
      </c>
      <c r="K3" s="137">
        <v>12.5</v>
      </c>
      <c r="L3" s="138">
        <v>0.52083333333333337</v>
      </c>
      <c r="M3" s="139"/>
      <c r="N3" s="119"/>
      <c r="O3" s="141">
        <v>2</v>
      </c>
      <c r="P3" s="142">
        <f t="shared" si="1"/>
        <v>41803.541666666664</v>
      </c>
      <c r="Q3" s="143">
        <v>41803.541666666664</v>
      </c>
      <c r="R3" s="144">
        <f t="shared" si="2"/>
        <v>41803.708333333328</v>
      </c>
      <c r="T3" s="145"/>
      <c r="U3" s="145"/>
      <c r="V3" s="145"/>
      <c r="W3" s="145"/>
      <c r="X3" s="145"/>
      <c r="Y3" s="145"/>
      <c r="Z3" s="145"/>
      <c r="AA3" s="145"/>
      <c r="AB3" s="145"/>
      <c r="AC3" s="145"/>
    </row>
    <row r="4" spans="1:33" s="104" customFormat="1" ht="15" customHeight="1">
      <c r="B4" s="136"/>
      <c r="H4" s="104">
        <f t="shared" si="0"/>
        <v>11</v>
      </c>
      <c r="I4" s="119">
        <v>3</v>
      </c>
      <c r="J4" s="137" t="s">
        <v>219</v>
      </c>
      <c r="K4" s="137">
        <v>6</v>
      </c>
      <c r="L4" s="138">
        <v>0.25</v>
      </c>
      <c r="M4" s="119"/>
      <c r="N4" s="119"/>
      <c r="O4" s="141">
        <v>3</v>
      </c>
      <c r="P4" s="142">
        <f t="shared" si="1"/>
        <v>41803.666666666664</v>
      </c>
      <c r="Q4" s="143">
        <v>41803.666666666664</v>
      </c>
      <c r="R4" s="144">
        <f t="shared" si="2"/>
        <v>41803.833333333328</v>
      </c>
      <c r="T4" s="145"/>
      <c r="U4" s="145"/>
      <c r="V4" s="145"/>
      <c r="W4" s="145"/>
      <c r="X4" s="145"/>
      <c r="Y4" s="145"/>
      <c r="Z4" s="145"/>
      <c r="AA4" s="145"/>
      <c r="AB4" s="145"/>
      <c r="AC4" s="145"/>
    </row>
    <row r="5" spans="1:33" s="104" customFormat="1" ht="15" customHeight="1">
      <c r="B5" s="136"/>
      <c r="H5" s="104">
        <f t="shared" si="0"/>
        <v>9</v>
      </c>
      <c r="I5" s="119">
        <v>4</v>
      </c>
      <c r="J5" s="137" t="s">
        <v>220</v>
      </c>
      <c r="K5" s="137">
        <v>4</v>
      </c>
      <c r="L5" s="138">
        <v>0.16666666666666666</v>
      </c>
      <c r="M5" s="119"/>
      <c r="N5" s="119"/>
      <c r="O5" s="141">
        <v>4</v>
      </c>
      <c r="P5" s="142">
        <f t="shared" si="1"/>
        <v>41803.791666666664</v>
      </c>
      <c r="Q5" s="143">
        <v>41803.791666666664</v>
      </c>
      <c r="R5" s="144">
        <f t="shared" si="2"/>
        <v>41803.958333333328</v>
      </c>
      <c r="T5" s="145"/>
      <c r="U5" s="145"/>
      <c r="V5" s="145"/>
      <c r="W5" s="145"/>
      <c r="X5" s="145"/>
      <c r="Y5" s="145"/>
      <c r="Z5" s="145"/>
      <c r="AA5" s="145"/>
      <c r="AB5" s="145"/>
      <c r="AC5" s="145"/>
    </row>
    <row r="6" spans="1:33" s="104" customFormat="1" ht="15" customHeight="1">
      <c r="A6" s="146" t="s">
        <v>381</v>
      </c>
      <c r="B6" s="146"/>
      <c r="C6" s="146" t="s">
        <v>2199</v>
      </c>
      <c r="D6" s="146"/>
      <c r="E6" s="146"/>
      <c r="H6" s="104">
        <f t="shared" si="0"/>
        <v>14</v>
      </c>
      <c r="I6" s="119">
        <v>5</v>
      </c>
      <c r="J6" s="137" t="s">
        <v>221</v>
      </c>
      <c r="K6" s="137">
        <v>9</v>
      </c>
      <c r="L6" s="138">
        <v>0.375</v>
      </c>
      <c r="M6" s="119"/>
      <c r="N6" s="119"/>
      <c r="O6" s="141">
        <v>5</v>
      </c>
      <c r="P6" s="142">
        <f t="shared" si="1"/>
        <v>41804.541666666664</v>
      </c>
      <c r="Q6" s="143">
        <v>41804.541666666664</v>
      </c>
      <c r="R6" s="144">
        <f t="shared" si="2"/>
        <v>41804.708333333328</v>
      </c>
      <c r="T6" s="145"/>
      <c r="U6" s="145"/>
      <c r="V6" s="145"/>
      <c r="W6" s="145"/>
      <c r="X6" s="145"/>
      <c r="Y6" s="145"/>
      <c r="Z6" s="145"/>
      <c r="AA6" s="145"/>
      <c r="AB6" s="145"/>
      <c r="AC6" s="145"/>
      <c r="AE6" s="104">
        <f>SUM(W161:W164)</f>
        <v>12</v>
      </c>
    </row>
    <row r="7" spans="1:33" s="104" customFormat="1" ht="15" customHeight="1">
      <c r="A7" s="169" t="s">
        <v>2198</v>
      </c>
      <c r="B7" s="147"/>
      <c r="C7" s="148" t="str">
        <f>'Dummy Table'!B4</f>
        <v>Brazília</v>
      </c>
      <c r="D7" s="149" t="s">
        <v>3946</v>
      </c>
      <c r="E7" s="148" t="str">
        <f>"'Countries and Timezone'!"&amp;VLOOKUP(V161,$C$7:$D$38,2,FALSE)</f>
        <v>'Countries and Timezone'!B7</v>
      </c>
      <c r="F7" s="104">
        <v>1</v>
      </c>
      <c r="H7" s="104">
        <f t="shared" si="0"/>
        <v>11</v>
      </c>
      <c r="I7" s="119">
        <v>6</v>
      </c>
      <c r="J7" s="137" t="s">
        <v>222</v>
      </c>
      <c r="K7" s="137">
        <v>6</v>
      </c>
      <c r="L7" s="138">
        <v>0.25</v>
      </c>
      <c r="M7" s="119"/>
      <c r="N7" s="119"/>
      <c r="O7" s="141">
        <v>6</v>
      </c>
      <c r="P7" s="142">
        <f t="shared" si="1"/>
        <v>41804.916666666664</v>
      </c>
      <c r="Q7" s="143">
        <v>41804.916666666664</v>
      </c>
      <c r="R7" s="144">
        <f t="shared" si="2"/>
        <v>41805.083333333328</v>
      </c>
      <c r="T7" s="145"/>
      <c r="U7" s="145"/>
      <c r="V7" s="145"/>
      <c r="W7" s="145"/>
      <c r="X7" s="145"/>
      <c r="Y7" s="145"/>
      <c r="Z7" s="145"/>
      <c r="AA7" s="145"/>
      <c r="AB7" s="145"/>
      <c r="AC7" s="145"/>
      <c r="AG7" s="104" t="s">
        <v>369</v>
      </c>
    </row>
    <row r="8" spans="1:33" s="104" customFormat="1" ht="15" customHeight="1">
      <c r="A8" s="169"/>
      <c r="B8" s="147"/>
      <c r="C8" s="148" t="str">
        <f>'Dummy Table'!B5</f>
        <v>Horvátország</v>
      </c>
      <c r="D8" s="149" t="s">
        <v>3947</v>
      </c>
      <c r="E8" s="148" t="str">
        <f>"'Countries and Timezone'!"&amp;VLOOKUP(V162,$C$7:$D$38,2,FALSE)</f>
        <v>'Countries and Timezone'!B9</v>
      </c>
      <c r="F8" s="104">
        <v>2</v>
      </c>
      <c r="H8" s="104">
        <f t="shared" si="0"/>
        <v>10</v>
      </c>
      <c r="I8" s="119">
        <v>7</v>
      </c>
      <c r="J8" s="137" t="s">
        <v>223</v>
      </c>
      <c r="K8" s="137">
        <v>5</v>
      </c>
      <c r="L8" s="138">
        <v>0.20833333333333334</v>
      </c>
      <c r="M8" s="119"/>
      <c r="N8" s="119"/>
      <c r="O8" s="141">
        <v>7</v>
      </c>
      <c r="P8" s="142">
        <f t="shared" si="1"/>
        <v>41804.666666666664</v>
      </c>
      <c r="Q8" s="143">
        <v>41804.666666666664</v>
      </c>
      <c r="R8" s="144">
        <f t="shared" si="2"/>
        <v>41804.833333333328</v>
      </c>
      <c r="T8" s="145"/>
      <c r="U8" s="145"/>
      <c r="V8" s="145"/>
      <c r="W8" s="145"/>
      <c r="X8" s="145"/>
      <c r="Y8" s="145"/>
      <c r="Z8" s="145"/>
      <c r="AA8" s="145"/>
      <c r="AB8" s="145"/>
      <c r="AC8" s="145"/>
      <c r="AG8" s="107" t="s">
        <v>4085</v>
      </c>
    </row>
    <row r="9" spans="1:33" s="104" customFormat="1" ht="15" customHeight="1">
      <c r="A9" s="169"/>
      <c r="B9" s="147"/>
      <c r="C9" s="148" t="str">
        <f>'Dummy Table'!B6</f>
        <v>Mexikó</v>
      </c>
      <c r="D9" s="149" t="s">
        <v>3948</v>
      </c>
      <c r="E9" s="148" t="str">
        <f>"'Countries and Timezone'!"&amp;VLOOKUP(V163,$C$7:$D$38,2,FALSE)</f>
        <v>'Countries and Timezone'!B8</v>
      </c>
      <c r="F9" s="104">
        <v>3</v>
      </c>
      <c r="H9" s="104">
        <f t="shared" si="0"/>
        <v>21</v>
      </c>
      <c r="I9" s="119">
        <v>8</v>
      </c>
      <c r="J9" s="137" t="s">
        <v>224</v>
      </c>
      <c r="K9" s="137">
        <v>16</v>
      </c>
      <c r="L9" s="138">
        <v>0.66666666666666663</v>
      </c>
      <c r="M9" s="119"/>
      <c r="N9" s="119" t="s">
        <v>575</v>
      </c>
      <c r="O9" s="141">
        <v>8</v>
      </c>
      <c r="P9" s="142">
        <f t="shared" si="1"/>
        <v>41804.791666666664</v>
      </c>
      <c r="Q9" s="143">
        <v>41804.791666666664</v>
      </c>
      <c r="R9" s="144">
        <f t="shared" si="2"/>
        <v>41804.958333333328</v>
      </c>
      <c r="T9" s="145"/>
      <c r="U9" s="145"/>
      <c r="V9" s="145"/>
      <c r="W9" s="145"/>
      <c r="X9" s="145"/>
      <c r="Y9" s="145"/>
      <c r="Z9" s="145"/>
      <c r="AA9" s="145"/>
      <c r="AB9" s="145"/>
      <c r="AC9" s="145"/>
      <c r="AG9" s="102" t="s">
        <v>357</v>
      </c>
    </row>
    <row r="10" spans="1:33" s="104" customFormat="1" ht="15" customHeight="1">
      <c r="A10" s="169"/>
      <c r="B10" s="147"/>
      <c r="C10" s="148" t="str">
        <f>'Dummy Table'!B7</f>
        <v>Kamerun</v>
      </c>
      <c r="D10" s="149" t="s">
        <v>3949</v>
      </c>
      <c r="E10" s="148" t="str">
        <f>"'Countries and Timezone'!"&amp;VLOOKUP(V164,$C$7:$D$38,2,FALSE)</f>
        <v>'Countries and Timezone'!B10</v>
      </c>
      <c r="F10" s="104">
        <v>4</v>
      </c>
      <c r="H10" s="104">
        <f t="shared" si="0"/>
        <v>0</v>
      </c>
      <c r="I10" s="119">
        <v>9</v>
      </c>
      <c r="J10" s="137" t="s">
        <v>225</v>
      </c>
      <c r="K10" s="150">
        <v>-5</v>
      </c>
      <c r="L10" s="138">
        <v>0.20833333333333334</v>
      </c>
      <c r="M10" s="119"/>
      <c r="N10" s="119"/>
      <c r="O10" s="141">
        <v>9</v>
      </c>
      <c r="P10" s="142">
        <f t="shared" si="1"/>
        <v>41805.541666666664</v>
      </c>
      <c r="Q10" s="143">
        <v>41805.541666666664</v>
      </c>
      <c r="R10" s="144">
        <f t="shared" si="2"/>
        <v>41805.708333333328</v>
      </c>
      <c r="T10" s="145"/>
      <c r="U10" s="145"/>
      <c r="V10" s="145"/>
      <c r="W10" s="145"/>
      <c r="X10" s="145"/>
      <c r="Y10" s="145"/>
      <c r="Z10" s="145"/>
      <c r="AA10" s="145"/>
      <c r="AB10" s="145"/>
      <c r="AC10" s="145"/>
      <c r="AG10" s="104" t="s">
        <v>368</v>
      </c>
    </row>
    <row r="11" spans="1:33" s="104" customFormat="1" ht="15" customHeight="1">
      <c r="A11" s="169" t="s">
        <v>382</v>
      </c>
      <c r="B11" s="147"/>
      <c r="C11" s="148" t="str">
        <f>'Dummy Table'!B11</f>
        <v>Spanyolország</v>
      </c>
      <c r="D11" s="149" t="s">
        <v>3950</v>
      </c>
      <c r="E11" s="148" t="str">
        <f>"'Countries and Timezone'!"&amp;VLOOKUP(V167,$C$7:$D$38,2,FALSE)</f>
        <v>'Countries and Timezone'!B12</v>
      </c>
      <c r="F11" s="104">
        <v>5</v>
      </c>
      <c r="H11" s="104">
        <f t="shared" si="0"/>
        <v>11</v>
      </c>
      <c r="I11" s="119">
        <v>10</v>
      </c>
      <c r="J11" s="137" t="s">
        <v>226</v>
      </c>
      <c r="K11" s="137">
        <v>6</v>
      </c>
      <c r="L11" s="138">
        <v>0.25</v>
      </c>
      <c r="M11" s="119"/>
      <c r="N11" s="119"/>
      <c r="O11" s="141">
        <v>10</v>
      </c>
      <c r="P11" s="142">
        <f t="shared" si="1"/>
        <v>41805.666666666664</v>
      </c>
      <c r="Q11" s="143">
        <v>41805.666666666664</v>
      </c>
      <c r="R11" s="144">
        <f t="shared" si="2"/>
        <v>41805.833333333328</v>
      </c>
      <c r="T11" s="145"/>
      <c r="U11" s="145"/>
      <c r="V11" s="145"/>
      <c r="W11" s="145"/>
      <c r="X11" s="145"/>
      <c r="Y11" s="145"/>
      <c r="Z11" s="145"/>
      <c r="AA11" s="145"/>
      <c r="AB11" s="145"/>
      <c r="AC11" s="145"/>
      <c r="AG11" s="104" t="s">
        <v>2185</v>
      </c>
    </row>
    <row r="12" spans="1:33" s="104" customFormat="1" ht="15" customHeight="1">
      <c r="A12" s="169"/>
      <c r="B12" s="147"/>
      <c r="C12" s="148" t="str">
        <f>'Dummy Table'!B12</f>
        <v>Hollandia</v>
      </c>
      <c r="D12" s="149" t="s">
        <v>3951</v>
      </c>
      <c r="E12" s="148" t="str">
        <f>"'Countries and Timezone'!"&amp;VLOOKUP(V168,$C$7:$D$38,2,FALSE)</f>
        <v>'Countries and Timezone'!B13</v>
      </c>
      <c r="F12" s="104">
        <v>6</v>
      </c>
      <c r="H12" s="104">
        <f t="shared" si="0"/>
        <v>11</v>
      </c>
      <c r="I12" s="119">
        <v>11</v>
      </c>
      <c r="J12" s="137" t="s">
        <v>227</v>
      </c>
      <c r="K12" s="137">
        <v>6</v>
      </c>
      <c r="L12" s="138">
        <v>0.25</v>
      </c>
      <c r="M12" s="119"/>
      <c r="N12" s="119"/>
      <c r="O12" s="141">
        <v>11</v>
      </c>
      <c r="P12" s="142">
        <f t="shared" si="1"/>
        <v>41805.791666666664</v>
      </c>
      <c r="Q12" s="143">
        <v>41805.791666666664</v>
      </c>
      <c r="R12" s="144">
        <f t="shared" si="2"/>
        <v>41805.958333333328</v>
      </c>
      <c r="T12" s="145"/>
      <c r="U12" s="145"/>
      <c r="V12" s="145"/>
      <c r="W12" s="145"/>
      <c r="X12" s="145"/>
      <c r="Y12" s="145"/>
      <c r="Z12" s="145"/>
      <c r="AA12" s="145"/>
      <c r="AB12" s="145"/>
      <c r="AC12" s="145"/>
      <c r="AE12" s="104">
        <f>SUM(W167:W170)</f>
        <v>12</v>
      </c>
      <c r="AG12" s="102" t="s">
        <v>2184</v>
      </c>
    </row>
    <row r="13" spans="1:33" s="104" customFormat="1" ht="15" customHeight="1">
      <c r="A13" s="169"/>
      <c r="B13" s="147"/>
      <c r="C13" s="148" t="str">
        <f>'Dummy Table'!B13</f>
        <v>Chile</v>
      </c>
      <c r="D13" s="149" t="s">
        <v>3952</v>
      </c>
      <c r="E13" s="148" t="str">
        <f>"'Countries and Timezone'!"&amp;VLOOKUP(V169,$C$7:$D$38,2,FALSE)</f>
        <v>'Countries and Timezone'!B11</v>
      </c>
      <c r="F13" s="104">
        <v>7</v>
      </c>
      <c r="H13" s="104">
        <f>IF(K13&gt;0,ABS($G$2)+K13,K13-$G$2)</f>
        <v>4</v>
      </c>
      <c r="I13" s="119">
        <v>12</v>
      </c>
      <c r="J13" s="137" t="s">
        <v>228</v>
      </c>
      <c r="K13" s="137">
        <v>-1</v>
      </c>
      <c r="L13" s="138">
        <v>4.1666666666666664E-2</v>
      </c>
      <c r="M13" s="119"/>
      <c r="N13" s="119"/>
      <c r="O13" s="141">
        <v>12</v>
      </c>
      <c r="P13" s="142">
        <f t="shared" si="1"/>
        <v>41806.666666666664</v>
      </c>
      <c r="Q13" s="143">
        <v>41806.666666666664</v>
      </c>
      <c r="R13" s="144">
        <f t="shared" si="2"/>
        <v>41806.833333333328</v>
      </c>
      <c r="T13" s="145"/>
      <c r="U13" s="145"/>
      <c r="V13" s="145"/>
      <c r="W13" s="145"/>
      <c r="X13" s="145"/>
      <c r="Y13" s="145"/>
      <c r="Z13" s="145"/>
      <c r="AA13" s="145"/>
      <c r="AB13" s="145"/>
      <c r="AC13" s="145"/>
      <c r="AG13" s="104" t="s">
        <v>371</v>
      </c>
    </row>
    <row r="14" spans="1:33" s="104" customFormat="1" ht="15" customHeight="1">
      <c r="A14" s="169"/>
      <c r="B14" s="147"/>
      <c r="C14" s="148" t="str">
        <f>'Dummy Table'!B14</f>
        <v>Ausztrália</v>
      </c>
      <c r="D14" s="149" t="s">
        <v>3953</v>
      </c>
      <c r="E14" s="148" t="str">
        <f>"'Countries and Timezone'!"&amp;VLOOKUP(V170,$C$7:$D$38,2,FALSE)</f>
        <v>'Countries and Timezone'!B14</v>
      </c>
      <c r="F14" s="104">
        <v>8</v>
      </c>
      <c r="H14" s="104">
        <f t="shared" ref="H14:H77" si="3">IF(K14&gt;0,ABS($G$2)+K14,K14-$G$2)</f>
        <v>11</v>
      </c>
      <c r="I14" s="119">
        <v>13</v>
      </c>
      <c r="J14" s="137" t="s">
        <v>229</v>
      </c>
      <c r="K14" s="137">
        <v>6</v>
      </c>
      <c r="L14" s="138">
        <v>0.25</v>
      </c>
      <c r="M14" s="119"/>
      <c r="N14" s="119"/>
      <c r="O14" s="141">
        <v>13</v>
      </c>
      <c r="P14" s="142">
        <f t="shared" si="1"/>
        <v>41806.541666666664</v>
      </c>
      <c r="Q14" s="143">
        <v>41806.541666666664</v>
      </c>
      <c r="R14" s="144">
        <f t="shared" si="2"/>
        <v>41806.708333333328</v>
      </c>
      <c r="T14" s="145"/>
      <c r="U14" s="145"/>
      <c r="V14" s="145"/>
      <c r="W14" s="145"/>
      <c r="X14" s="145"/>
      <c r="Y14" s="145"/>
      <c r="Z14" s="145"/>
      <c r="AA14" s="145"/>
      <c r="AB14" s="145"/>
      <c r="AC14" s="145"/>
      <c r="AG14" s="102" t="s">
        <v>365</v>
      </c>
    </row>
    <row r="15" spans="1:33" s="104" customFormat="1" ht="15" customHeight="1">
      <c r="A15" s="169" t="s">
        <v>383</v>
      </c>
      <c r="B15" s="147"/>
      <c r="C15" s="148" t="str">
        <f>'Dummy Table'!B18</f>
        <v>Colombia</v>
      </c>
      <c r="D15" s="149" t="s">
        <v>3954</v>
      </c>
      <c r="E15" s="148" t="str">
        <f>"'Countries and Timezone'!"&amp;VLOOKUP(V173,$C$7:$D$38,2,FALSE)</f>
        <v>'Countries and Timezone'!B15</v>
      </c>
      <c r="F15" s="104">
        <v>9</v>
      </c>
      <c r="H15" s="104">
        <f t="shared" si="3"/>
        <v>4</v>
      </c>
      <c r="I15" s="119">
        <v>14</v>
      </c>
      <c r="J15" s="137" t="s">
        <v>230</v>
      </c>
      <c r="K15" s="137">
        <v>-1</v>
      </c>
      <c r="L15" s="138">
        <v>4.1666666666666664E-2</v>
      </c>
      <c r="M15" s="119"/>
      <c r="N15" s="119"/>
      <c r="O15" s="141">
        <v>14</v>
      </c>
      <c r="P15" s="142">
        <f t="shared" si="1"/>
        <v>41806.791666666664</v>
      </c>
      <c r="Q15" s="143">
        <v>41806.791666666664</v>
      </c>
      <c r="R15" s="144">
        <f t="shared" si="2"/>
        <v>41806.958333333328</v>
      </c>
      <c r="T15" s="145"/>
      <c r="U15" s="145"/>
      <c r="V15" s="145"/>
      <c r="W15" s="145"/>
      <c r="X15" s="145"/>
      <c r="Y15" s="145"/>
      <c r="Z15" s="145"/>
      <c r="AA15" s="145"/>
      <c r="AB15" s="145"/>
      <c r="AC15" s="145"/>
      <c r="AG15" s="104" t="s">
        <v>3857</v>
      </c>
    </row>
    <row r="16" spans="1:33" s="104" customFormat="1" ht="15" customHeight="1">
      <c r="A16" s="169"/>
      <c r="B16" s="147"/>
      <c r="C16" s="148" t="str">
        <f>'Dummy Table'!B19</f>
        <v>Görögország</v>
      </c>
      <c r="D16" s="149" t="s">
        <v>3955</v>
      </c>
      <c r="E16" s="148" t="str">
        <f>"'Countries and Timezone'!"&amp;VLOOKUP(V174,$C$7:$D$38,2,FALSE)</f>
        <v>'Countries and Timezone'!B16</v>
      </c>
      <c r="F16" s="104">
        <v>10</v>
      </c>
      <c r="H16" s="104">
        <f t="shared" si="3"/>
        <v>20</v>
      </c>
      <c r="I16" s="119">
        <v>15</v>
      </c>
      <c r="J16" s="137" t="s">
        <v>231</v>
      </c>
      <c r="K16" s="137">
        <v>15</v>
      </c>
      <c r="L16" s="138">
        <v>0.625</v>
      </c>
      <c r="M16" s="119"/>
      <c r="N16" s="119"/>
      <c r="O16" s="141">
        <v>15</v>
      </c>
      <c r="P16" s="142">
        <f t="shared" si="1"/>
        <v>41807.541666666664</v>
      </c>
      <c r="Q16" s="143">
        <v>41807.541666666664</v>
      </c>
      <c r="R16" s="144">
        <f t="shared" si="2"/>
        <v>41807.708333333328</v>
      </c>
      <c r="T16" s="145"/>
      <c r="U16" s="145"/>
      <c r="V16" s="145"/>
      <c r="W16" s="145"/>
      <c r="X16" s="145"/>
      <c r="Y16" s="145"/>
      <c r="Z16" s="145"/>
      <c r="AA16" s="145"/>
      <c r="AB16" s="145"/>
      <c r="AC16" s="145"/>
      <c r="AG16" s="102" t="s">
        <v>2186</v>
      </c>
    </row>
    <row r="17" spans="1:33" s="104" customFormat="1" ht="15" customHeight="1">
      <c r="A17" s="169"/>
      <c r="B17" s="147"/>
      <c r="C17" s="148" t="str">
        <f>'Dummy Table'!B20</f>
        <v>Elefántcsontpart</v>
      </c>
      <c r="D17" s="149" t="s">
        <v>3956</v>
      </c>
      <c r="E17" s="148" t="str">
        <f>"'Countries and Timezone'!"&amp;VLOOKUP(V175,$C$7:$D$38,2,FALSE)</f>
        <v>'Countries and Timezone'!B17</v>
      </c>
      <c r="F17" s="104">
        <v>11</v>
      </c>
      <c r="H17" s="104">
        <f t="shared" si="3"/>
        <v>11</v>
      </c>
      <c r="I17" s="119">
        <v>16</v>
      </c>
      <c r="J17" s="137" t="s">
        <v>232</v>
      </c>
      <c r="K17" s="137">
        <v>6</v>
      </c>
      <c r="L17" s="138">
        <v>0.25</v>
      </c>
      <c r="M17" s="119"/>
      <c r="N17" s="119"/>
      <c r="O17" s="141">
        <v>16</v>
      </c>
      <c r="P17" s="142">
        <f t="shared" si="1"/>
        <v>41807.791666666664</v>
      </c>
      <c r="Q17" s="143">
        <v>41807.791666666664</v>
      </c>
      <c r="R17" s="144">
        <f t="shared" si="2"/>
        <v>41807.958333333328</v>
      </c>
      <c r="T17" s="145"/>
      <c r="U17" s="145"/>
      <c r="V17" s="145"/>
      <c r="W17" s="145"/>
      <c r="X17" s="145"/>
      <c r="Y17" s="145"/>
      <c r="Z17" s="145"/>
      <c r="AA17" s="145"/>
      <c r="AB17" s="145"/>
      <c r="AC17" s="145"/>
      <c r="AG17" s="104" t="s">
        <v>1167</v>
      </c>
    </row>
    <row r="18" spans="1:33" s="104" customFormat="1" ht="15" customHeight="1">
      <c r="A18" s="169"/>
      <c r="B18" s="147"/>
      <c r="C18" s="148" t="str">
        <f>'Dummy Table'!B21</f>
        <v>Japán</v>
      </c>
      <c r="D18" s="149" t="s">
        <v>3957</v>
      </c>
      <c r="E18" s="148" t="str">
        <f>"'Countries and Timezone'!"&amp;VLOOKUP(V176,$C$7:$D$38,2,FALSE)</f>
        <v>'Countries and Timezone'!B18</v>
      </c>
      <c r="F18" s="104">
        <v>12</v>
      </c>
      <c r="H18" s="104">
        <f t="shared" si="3"/>
        <v>15</v>
      </c>
      <c r="I18" s="119">
        <v>17</v>
      </c>
      <c r="J18" s="137" t="s">
        <v>233</v>
      </c>
      <c r="K18" s="137">
        <v>10</v>
      </c>
      <c r="L18" s="138">
        <v>0.41666666666666669</v>
      </c>
      <c r="M18" s="119"/>
      <c r="N18" s="119"/>
      <c r="O18" s="141">
        <v>17</v>
      </c>
      <c r="P18" s="142">
        <f t="shared" si="1"/>
        <v>41807.666666666664</v>
      </c>
      <c r="Q18" s="143">
        <v>41807.666666666664</v>
      </c>
      <c r="R18" s="144">
        <f t="shared" si="2"/>
        <v>41807.833333333328</v>
      </c>
      <c r="T18" s="145"/>
      <c r="U18" s="145"/>
      <c r="V18" s="145"/>
      <c r="W18" s="145"/>
      <c r="X18" s="145"/>
      <c r="Y18" s="145"/>
      <c r="Z18" s="145"/>
      <c r="AA18" s="145"/>
      <c r="AB18" s="145"/>
      <c r="AC18" s="145"/>
      <c r="AE18" s="104">
        <f>SUM(W173:W176)</f>
        <v>12</v>
      </c>
      <c r="AG18" s="102" t="s">
        <v>367</v>
      </c>
    </row>
    <row r="19" spans="1:33" s="104" customFormat="1" ht="15" customHeight="1">
      <c r="A19" s="169" t="s">
        <v>2191</v>
      </c>
      <c r="B19" s="147"/>
      <c r="C19" s="148" t="str">
        <f>'Dummy Table'!B25</f>
        <v>Uruguaj</v>
      </c>
      <c r="D19" s="149" t="s">
        <v>3958</v>
      </c>
      <c r="E19" s="148" t="str">
        <f>"'Countries and Timezone'!"&amp;VLOOKUP(V179,$C$7:$D$38,2,FALSE)</f>
        <v>'Countries and Timezone'!B20</v>
      </c>
      <c r="F19" s="104">
        <v>13</v>
      </c>
      <c r="H19" s="104">
        <f t="shared" si="3"/>
        <v>10</v>
      </c>
      <c r="I19" s="119">
        <v>18</v>
      </c>
      <c r="J19" s="137" t="s">
        <v>234</v>
      </c>
      <c r="K19" s="137">
        <v>5</v>
      </c>
      <c r="L19" s="138">
        <v>0.20833333333333334</v>
      </c>
      <c r="M19" s="119"/>
      <c r="N19" s="119"/>
      <c r="O19" s="141">
        <v>18</v>
      </c>
      <c r="P19" s="142">
        <f t="shared" si="1"/>
        <v>41808.791666666664</v>
      </c>
      <c r="Q19" s="143">
        <v>41808.791666666664</v>
      </c>
      <c r="R19" s="144">
        <f t="shared" si="2"/>
        <v>41808.958333333328</v>
      </c>
      <c r="T19" s="145"/>
      <c r="U19" s="145"/>
      <c r="V19" s="145"/>
      <c r="W19" s="145"/>
      <c r="X19" s="145"/>
      <c r="Y19" s="145"/>
      <c r="Z19" s="145"/>
      <c r="AA19" s="145"/>
      <c r="AB19" s="145"/>
      <c r="AC19" s="145"/>
      <c r="AG19" s="104" t="s">
        <v>358</v>
      </c>
    </row>
    <row r="20" spans="1:33" s="104" customFormat="1" ht="15" customHeight="1">
      <c r="A20" s="169"/>
      <c r="B20" s="147"/>
      <c r="C20" s="148" t="str">
        <f>'Dummy Table'!B26</f>
        <v>Costa Rica</v>
      </c>
      <c r="D20" s="149" t="s">
        <v>3959</v>
      </c>
      <c r="E20" s="148" t="str">
        <f>"'Countries and Timezone'!"&amp;VLOOKUP(V180,$C$7:$D$38,2,FALSE)</f>
        <v>'Countries and Timezone'!B19</v>
      </c>
      <c r="F20" s="104">
        <v>14</v>
      </c>
      <c r="H20" s="104">
        <f t="shared" si="3"/>
        <v>16</v>
      </c>
      <c r="I20" s="119">
        <v>19</v>
      </c>
      <c r="J20" s="137" t="s">
        <v>235</v>
      </c>
      <c r="K20" s="137">
        <v>11</v>
      </c>
      <c r="L20" s="138">
        <v>0.45833333333333331</v>
      </c>
      <c r="M20" s="119"/>
      <c r="N20" s="119"/>
      <c r="O20" s="141">
        <v>19</v>
      </c>
      <c r="P20" s="142">
        <f t="shared" si="1"/>
        <v>41808.666666666664</v>
      </c>
      <c r="Q20" s="143">
        <v>41808.666666666664</v>
      </c>
      <c r="R20" s="144">
        <f t="shared" si="2"/>
        <v>41808.833333333328</v>
      </c>
      <c r="T20" s="145"/>
      <c r="U20" s="145"/>
      <c r="V20" s="145"/>
      <c r="W20" s="145"/>
      <c r="X20" s="145"/>
      <c r="Y20" s="145"/>
      <c r="Z20" s="145"/>
      <c r="AA20" s="145"/>
      <c r="AB20" s="145"/>
      <c r="AC20" s="145"/>
      <c r="AG20" s="112" t="s">
        <v>4051</v>
      </c>
    </row>
    <row r="21" spans="1:33" s="104" customFormat="1" ht="15" customHeight="1">
      <c r="A21" s="169"/>
      <c r="B21" s="147"/>
      <c r="C21" s="148" t="str">
        <f>'Dummy Table'!B27</f>
        <v>Anglia</v>
      </c>
      <c r="D21" s="149" t="s">
        <v>3960</v>
      </c>
      <c r="E21" s="148" t="str">
        <f>"'Countries and Timezone'!"&amp;VLOOKUP(V181,$C$7:$D$38,2,FALSE)</f>
        <v>'Countries and Timezone'!B22</v>
      </c>
      <c r="F21" s="104">
        <v>15</v>
      </c>
      <c r="H21" s="104">
        <f t="shared" si="3"/>
        <v>11</v>
      </c>
      <c r="I21" s="119">
        <v>20</v>
      </c>
      <c r="J21" s="137" t="s">
        <v>236</v>
      </c>
      <c r="K21" s="137">
        <v>6</v>
      </c>
      <c r="L21" s="138">
        <v>0.25</v>
      </c>
      <c r="M21" s="119"/>
      <c r="N21" s="119"/>
      <c r="O21" s="141">
        <v>20</v>
      </c>
      <c r="P21" s="142">
        <f t="shared" si="1"/>
        <v>41808.541666666664</v>
      </c>
      <c r="Q21" s="143">
        <v>41808.541666666664</v>
      </c>
      <c r="R21" s="144">
        <f t="shared" si="2"/>
        <v>41808.708333333328</v>
      </c>
      <c r="T21" s="145"/>
      <c r="U21" s="145"/>
      <c r="V21" s="145"/>
      <c r="W21" s="145"/>
      <c r="X21" s="145"/>
      <c r="Y21" s="145"/>
      <c r="Z21" s="145"/>
      <c r="AA21" s="145"/>
      <c r="AB21" s="145"/>
      <c r="AC21" s="145"/>
      <c r="AG21" s="102" t="s">
        <v>362</v>
      </c>
    </row>
    <row r="22" spans="1:33" s="104" customFormat="1" ht="15" customHeight="1">
      <c r="A22" s="169"/>
      <c r="B22" s="147"/>
      <c r="C22" s="148" t="str">
        <f>'Dummy Table'!B28</f>
        <v>Olaszország</v>
      </c>
      <c r="D22" s="149" t="s">
        <v>3961</v>
      </c>
      <c r="E22" s="148" t="str">
        <f>"'Countries and Timezone'!"&amp;VLOOKUP(V182,$C$7:$D$38,2,FALSE)</f>
        <v>'Countries and Timezone'!B21</v>
      </c>
      <c r="F22" s="104">
        <v>16</v>
      </c>
      <c r="H22" s="104">
        <f t="shared" si="3"/>
        <v>10</v>
      </c>
      <c r="I22" s="119">
        <v>21</v>
      </c>
      <c r="J22" s="137" t="s">
        <v>237</v>
      </c>
      <c r="K22" s="137">
        <v>5</v>
      </c>
      <c r="L22" s="138">
        <v>0.20833333333333334</v>
      </c>
      <c r="M22" s="119"/>
      <c r="N22" s="119"/>
      <c r="O22" s="141">
        <v>21</v>
      </c>
      <c r="P22" s="142">
        <f t="shared" si="1"/>
        <v>41809.541666666664</v>
      </c>
      <c r="Q22" s="143">
        <v>41809.541666666664</v>
      </c>
      <c r="R22" s="144">
        <f t="shared" si="2"/>
        <v>41809.708333333328</v>
      </c>
      <c r="T22" s="145"/>
      <c r="U22" s="145"/>
      <c r="V22" s="145"/>
      <c r="W22" s="145"/>
      <c r="X22" s="145"/>
      <c r="Y22" s="145"/>
      <c r="Z22" s="145"/>
      <c r="AA22" s="145"/>
      <c r="AB22" s="145"/>
      <c r="AC22" s="145"/>
      <c r="AG22" s="104" t="s">
        <v>2187</v>
      </c>
    </row>
    <row r="23" spans="1:33" s="104" customFormat="1" ht="15" customHeight="1">
      <c r="A23" s="169" t="s">
        <v>384</v>
      </c>
      <c r="B23" s="147"/>
      <c r="C23" s="148" t="str">
        <f>'Dummy Table'!B32</f>
        <v>Svájc</v>
      </c>
      <c r="D23" s="149" t="s">
        <v>3962</v>
      </c>
      <c r="E23" s="148" t="str">
        <f>"'Countries and Timezone'!"&amp;VLOOKUP(V185,$C$7:$D$38,2,FALSE)</f>
        <v>'Countries and Timezone'!B25</v>
      </c>
      <c r="F23" s="104">
        <v>17</v>
      </c>
      <c r="H23" s="104">
        <f t="shared" si="3"/>
        <v>10</v>
      </c>
      <c r="I23" s="119">
        <v>22</v>
      </c>
      <c r="J23" s="137" t="s">
        <v>238</v>
      </c>
      <c r="K23" s="137">
        <v>5</v>
      </c>
      <c r="L23" s="138">
        <v>0.20833333333333334</v>
      </c>
      <c r="M23" s="119"/>
      <c r="N23" s="119"/>
      <c r="O23" s="141">
        <v>22</v>
      </c>
      <c r="P23" s="142">
        <f t="shared" si="1"/>
        <v>41809.791666666664</v>
      </c>
      <c r="Q23" s="143">
        <v>41809.791666666664</v>
      </c>
      <c r="R23" s="144">
        <f t="shared" si="2"/>
        <v>41809.958333333328</v>
      </c>
      <c r="T23" s="145"/>
      <c r="U23" s="145"/>
      <c r="V23" s="145"/>
      <c r="W23" s="145"/>
      <c r="X23" s="145"/>
      <c r="Y23" s="145"/>
      <c r="Z23" s="145"/>
      <c r="AA23" s="145"/>
      <c r="AB23" s="145"/>
      <c r="AC23" s="145"/>
      <c r="AG23" s="104" t="s">
        <v>2181</v>
      </c>
    </row>
    <row r="24" spans="1:33" s="104" customFormat="1" ht="15" customHeight="1">
      <c r="A24" s="169"/>
      <c r="B24" s="147"/>
      <c r="C24" s="148" t="str">
        <f>'Dummy Table'!B33</f>
        <v>Ecuador</v>
      </c>
      <c r="D24" s="149" t="s">
        <v>3963</v>
      </c>
      <c r="E24" s="148" t="str">
        <f>"'Countries and Timezone'!"&amp;VLOOKUP(V186,$C$7:$D$38,2,FALSE)</f>
        <v>'Countries and Timezone'!B23</v>
      </c>
      <c r="F24" s="104">
        <v>18</v>
      </c>
      <c r="H24" s="104">
        <f t="shared" si="3"/>
        <v>3</v>
      </c>
      <c r="I24" s="119">
        <v>23</v>
      </c>
      <c r="J24" s="137" t="s">
        <v>239</v>
      </c>
      <c r="K24" s="137">
        <v>-2</v>
      </c>
      <c r="L24" s="138">
        <v>8.3333333333333329E-2</v>
      </c>
      <c r="M24" s="119"/>
      <c r="N24" s="119"/>
      <c r="O24" s="141">
        <v>23</v>
      </c>
      <c r="P24" s="142">
        <f t="shared" si="1"/>
        <v>41809.666666666664</v>
      </c>
      <c r="Q24" s="143">
        <v>41809.666666666664</v>
      </c>
      <c r="R24" s="144">
        <f t="shared" si="2"/>
        <v>41809.833333333328</v>
      </c>
      <c r="T24" s="145"/>
      <c r="U24" s="145"/>
      <c r="V24" s="145"/>
      <c r="W24" s="145"/>
      <c r="X24" s="145"/>
      <c r="Y24" s="145"/>
      <c r="Z24" s="145"/>
      <c r="AA24" s="145"/>
      <c r="AB24" s="145"/>
      <c r="AC24" s="145"/>
      <c r="AE24" s="104">
        <f>SUM(W179:W182)</f>
        <v>12</v>
      </c>
      <c r="AG24" s="104" t="s">
        <v>3858</v>
      </c>
    </row>
    <row r="25" spans="1:33" s="104" customFormat="1" ht="15" customHeight="1">
      <c r="A25" s="169"/>
      <c r="B25" s="147"/>
      <c r="C25" s="148" t="str">
        <f>'Dummy Table'!B34</f>
        <v>Franciaország</v>
      </c>
      <c r="D25" s="149" t="s">
        <v>3964</v>
      </c>
      <c r="E25" s="148" t="str">
        <f>"'Countries and Timezone'!"&amp;VLOOKUP(V187,$C$7:$D$38,2,FALSE)</f>
        <v>'Countries and Timezone'!B24</v>
      </c>
      <c r="F25" s="104">
        <v>19</v>
      </c>
      <c r="H25" s="104">
        <f t="shared" si="3"/>
        <v>4</v>
      </c>
      <c r="I25" s="119">
        <v>24</v>
      </c>
      <c r="J25" s="137" t="s">
        <v>240</v>
      </c>
      <c r="K25" s="137">
        <v>-1</v>
      </c>
      <c r="L25" s="138">
        <v>4.1666666666666664E-2</v>
      </c>
      <c r="M25" s="119"/>
      <c r="N25" s="119"/>
      <c r="O25" s="141">
        <v>24</v>
      </c>
      <c r="P25" s="142">
        <f t="shared" si="1"/>
        <v>41810.541666666664</v>
      </c>
      <c r="Q25" s="143">
        <v>41810.541666666664</v>
      </c>
      <c r="R25" s="144">
        <f t="shared" si="2"/>
        <v>41810.708333333328</v>
      </c>
      <c r="T25" s="145"/>
      <c r="U25" s="145"/>
      <c r="V25" s="145"/>
      <c r="W25" s="145"/>
      <c r="X25" s="145"/>
      <c r="Y25" s="145"/>
      <c r="Z25" s="145"/>
      <c r="AA25" s="145"/>
      <c r="AB25" s="145"/>
      <c r="AC25" s="145"/>
      <c r="AG25" s="102" t="s">
        <v>2188</v>
      </c>
    </row>
    <row r="26" spans="1:33" s="104" customFormat="1" ht="15" customHeight="1">
      <c r="A26" s="169"/>
      <c r="B26" s="147"/>
      <c r="C26" s="148" t="str">
        <f>'Dummy Table'!B35</f>
        <v>Hondurasz</v>
      </c>
      <c r="D26" s="149" t="s">
        <v>3965</v>
      </c>
      <c r="E26" s="148" t="str">
        <f>"'Countries and Timezone'!"&amp;VLOOKUP(V188,$C$7:$D$38,2,FALSE)</f>
        <v>'Countries and Timezone'!B26</v>
      </c>
      <c r="F26" s="104">
        <v>20</v>
      </c>
      <c r="H26" s="104">
        <f t="shared" si="3"/>
        <v>5</v>
      </c>
      <c r="I26" s="119">
        <v>25</v>
      </c>
      <c r="J26" s="137" t="s">
        <v>241</v>
      </c>
      <c r="K26" s="137">
        <v>0</v>
      </c>
      <c r="L26" s="138">
        <v>0</v>
      </c>
      <c r="M26" s="119"/>
      <c r="N26" s="119"/>
      <c r="O26" s="141">
        <v>25</v>
      </c>
      <c r="P26" s="142">
        <f t="shared" si="1"/>
        <v>41810.666666666664</v>
      </c>
      <c r="Q26" s="143">
        <v>41810.666666666664</v>
      </c>
      <c r="R26" s="144">
        <f t="shared" si="2"/>
        <v>41810.833333333328</v>
      </c>
      <c r="T26" s="145"/>
      <c r="U26" s="145"/>
      <c r="V26" s="145"/>
      <c r="W26" s="145"/>
      <c r="X26" s="145"/>
      <c r="Y26" s="145"/>
      <c r="Z26" s="145"/>
      <c r="AA26" s="145"/>
      <c r="AB26" s="145"/>
      <c r="AC26" s="145"/>
      <c r="AG26" s="102" t="s">
        <v>370</v>
      </c>
    </row>
    <row r="27" spans="1:33" s="104" customFormat="1" ht="15" customHeight="1">
      <c r="A27" s="169" t="s">
        <v>2197</v>
      </c>
      <c r="B27" s="147"/>
      <c r="C27" s="148" t="str">
        <f>'Dummy Table'!B39</f>
        <v>Argentína</v>
      </c>
      <c r="D27" s="149" t="s">
        <v>3966</v>
      </c>
      <c r="E27" s="148" t="str">
        <f>"'Countries and Timezone'!"&amp;VLOOKUP(V191,$C$7:$D$38,2,FALSE)</f>
        <v>'Countries and Timezone'!B27</v>
      </c>
      <c r="F27" s="104">
        <v>21</v>
      </c>
      <c r="H27" s="104">
        <f t="shared" si="3"/>
        <v>18</v>
      </c>
      <c r="I27" s="119">
        <v>26</v>
      </c>
      <c r="J27" s="137" t="s">
        <v>242</v>
      </c>
      <c r="K27" s="137">
        <v>13</v>
      </c>
      <c r="L27" s="138">
        <v>0.54166666666666663</v>
      </c>
      <c r="M27" s="119"/>
      <c r="N27" s="119"/>
      <c r="O27" s="141">
        <v>26</v>
      </c>
      <c r="P27" s="142">
        <f t="shared" si="1"/>
        <v>41810.791666666664</v>
      </c>
      <c r="Q27" s="143">
        <v>41810.791666666664</v>
      </c>
      <c r="R27" s="144">
        <f t="shared" si="2"/>
        <v>41810.958333333328</v>
      </c>
      <c r="T27" s="145"/>
      <c r="U27" s="145"/>
      <c r="V27" s="145"/>
      <c r="W27" s="145"/>
      <c r="X27" s="145"/>
      <c r="Y27" s="145"/>
      <c r="Z27" s="145"/>
      <c r="AA27" s="145"/>
      <c r="AB27" s="145"/>
      <c r="AC27" s="145"/>
      <c r="AG27" s="104" t="s">
        <v>359</v>
      </c>
    </row>
    <row r="28" spans="1:33" s="104" customFormat="1" ht="15" customHeight="1">
      <c r="A28" s="169"/>
      <c r="B28" s="147"/>
      <c r="C28" s="148" t="str">
        <f>'Dummy Table'!B40</f>
        <v>Bosznia-Hercegovina</v>
      </c>
      <c r="D28" s="149" t="s">
        <v>3967</v>
      </c>
      <c r="E28" s="148" t="str">
        <f>"'Countries and Timezone'!"&amp;VLOOKUP(V192,$C$7:$D$38,2,FALSE)</f>
        <v>'Countries and Timezone'!B30</v>
      </c>
      <c r="F28" s="104">
        <v>22</v>
      </c>
      <c r="H28" s="104">
        <f t="shared" si="3"/>
        <v>10</v>
      </c>
      <c r="I28" s="119">
        <v>27</v>
      </c>
      <c r="J28" s="137" t="s">
        <v>243</v>
      </c>
      <c r="K28" s="137">
        <v>5</v>
      </c>
      <c r="L28" s="138">
        <v>0.20833333333333334</v>
      </c>
      <c r="M28" s="119"/>
      <c r="N28" s="119"/>
      <c r="O28" s="141">
        <v>27</v>
      </c>
      <c r="P28" s="142">
        <f t="shared" si="1"/>
        <v>41811.541666666664</v>
      </c>
      <c r="Q28" s="143">
        <v>41811.541666666664</v>
      </c>
      <c r="R28" s="144">
        <f t="shared" si="2"/>
        <v>41811.708333333328</v>
      </c>
      <c r="T28" s="145"/>
      <c r="U28" s="145"/>
      <c r="V28" s="145"/>
      <c r="W28" s="145"/>
      <c r="X28" s="145"/>
      <c r="Y28" s="145"/>
      <c r="Z28" s="145"/>
      <c r="AA28" s="145"/>
      <c r="AB28" s="145"/>
      <c r="AC28" s="145"/>
      <c r="AG28" s="112" t="s">
        <v>3856</v>
      </c>
    </row>
    <row r="29" spans="1:33" s="104" customFormat="1" ht="15" customHeight="1">
      <c r="A29" s="169"/>
      <c r="B29" s="147"/>
      <c r="C29" s="148" t="str">
        <f>'Dummy Table'!B41</f>
        <v>Irán</v>
      </c>
      <c r="D29" s="149" t="s">
        <v>3968</v>
      </c>
      <c r="E29" s="148" t="str">
        <f>"'Countries and Timezone'!"&amp;VLOOKUP(V193,$C$7:$D$38,2,FALSE)</f>
        <v>'Countries and Timezone'!B28</v>
      </c>
      <c r="F29" s="104">
        <v>23</v>
      </c>
      <c r="H29" s="104">
        <f t="shared" si="3"/>
        <v>11</v>
      </c>
      <c r="I29" s="119">
        <v>28</v>
      </c>
      <c r="J29" s="137" t="s">
        <v>244</v>
      </c>
      <c r="K29" s="137">
        <v>6</v>
      </c>
      <c r="L29" s="138">
        <v>0.25</v>
      </c>
      <c r="M29" s="119"/>
      <c r="N29" s="119"/>
      <c r="O29" s="141">
        <v>28</v>
      </c>
      <c r="P29" s="142">
        <f t="shared" si="1"/>
        <v>41811.791666666664</v>
      </c>
      <c r="Q29" s="143">
        <v>41811.791666666664</v>
      </c>
      <c r="R29" s="144">
        <f t="shared" si="2"/>
        <v>41811.958333333328</v>
      </c>
      <c r="T29" s="145"/>
      <c r="U29" s="145"/>
      <c r="V29" s="145"/>
      <c r="W29" s="145"/>
      <c r="X29" s="145"/>
      <c r="Y29" s="145"/>
      <c r="Z29" s="145"/>
      <c r="AA29" s="145"/>
      <c r="AB29" s="145"/>
      <c r="AC29" s="145"/>
      <c r="AG29" s="112" t="s">
        <v>3854</v>
      </c>
    </row>
    <row r="30" spans="1:33" s="104" customFormat="1" ht="15" customHeight="1">
      <c r="A30" s="169"/>
      <c r="B30" s="147"/>
      <c r="C30" s="148" t="str">
        <f>'Dummy Table'!B42</f>
        <v>Nigéria</v>
      </c>
      <c r="D30" s="149" t="s">
        <v>3969</v>
      </c>
      <c r="E30" s="148" t="str">
        <f>"'Countries and Timezone'!"&amp;VLOOKUP(V194,$C$7:$D$38,2,FALSE)</f>
        <v>'Countries and Timezone'!B29</v>
      </c>
      <c r="F30" s="104">
        <v>24</v>
      </c>
      <c r="H30" s="104">
        <f t="shared" si="3"/>
        <v>10</v>
      </c>
      <c r="I30" s="119">
        <v>29</v>
      </c>
      <c r="J30" s="137" t="s">
        <v>245</v>
      </c>
      <c r="K30" s="137">
        <v>5</v>
      </c>
      <c r="L30" s="138">
        <v>0.20833333333333334</v>
      </c>
      <c r="M30" s="119"/>
      <c r="N30" s="119"/>
      <c r="O30" s="141">
        <v>29</v>
      </c>
      <c r="P30" s="142">
        <f t="shared" si="1"/>
        <v>41811.666666666664</v>
      </c>
      <c r="Q30" s="143">
        <v>41811.666666666664</v>
      </c>
      <c r="R30" s="144">
        <f t="shared" si="2"/>
        <v>41811.833333333328</v>
      </c>
      <c r="T30" s="145"/>
      <c r="U30" s="145"/>
      <c r="V30" s="145"/>
      <c r="W30" s="145"/>
      <c r="X30" s="145"/>
      <c r="Y30" s="145"/>
      <c r="Z30" s="145"/>
      <c r="AA30" s="145"/>
      <c r="AB30" s="145"/>
      <c r="AC30" s="145"/>
      <c r="AE30" s="104">
        <f>SUM(W185:W188)</f>
        <v>12</v>
      </c>
      <c r="AG30" s="104" t="s">
        <v>360</v>
      </c>
    </row>
    <row r="31" spans="1:33" s="104" customFormat="1" ht="15" customHeight="1">
      <c r="A31" s="169" t="s">
        <v>385</v>
      </c>
      <c r="B31" s="147"/>
      <c r="C31" s="148" t="str">
        <f>'Dummy Table'!B48</f>
        <v>Ghána</v>
      </c>
      <c r="D31" s="149" t="s">
        <v>3970</v>
      </c>
      <c r="E31" s="148" t="str">
        <f>"'Countries and Timezone'!"&amp;VLOOKUP(V197,$C$7:$D$38,2,FALSE)</f>
        <v>'Countries and Timezone'!B33</v>
      </c>
      <c r="F31" s="104">
        <v>25</v>
      </c>
      <c r="H31" s="104">
        <f t="shared" si="3"/>
        <v>5</v>
      </c>
      <c r="I31" s="119">
        <v>30</v>
      </c>
      <c r="J31" s="137" t="s">
        <v>246</v>
      </c>
      <c r="K31" s="137">
        <v>0</v>
      </c>
      <c r="L31" s="138">
        <v>0</v>
      </c>
      <c r="M31" s="119"/>
      <c r="N31" s="119"/>
      <c r="O31" s="141">
        <v>30</v>
      </c>
      <c r="P31" s="142">
        <f t="shared" si="1"/>
        <v>41812.791666666664</v>
      </c>
      <c r="Q31" s="143">
        <v>41812.791666666664</v>
      </c>
      <c r="R31" s="144">
        <f t="shared" si="2"/>
        <v>41812.958333333328</v>
      </c>
      <c r="T31" s="145"/>
      <c r="U31" s="145"/>
      <c r="V31" s="145"/>
      <c r="W31" s="145"/>
      <c r="X31" s="145"/>
      <c r="Y31" s="145"/>
      <c r="Z31" s="145"/>
      <c r="AA31" s="145"/>
      <c r="AB31" s="145"/>
      <c r="AC31" s="145"/>
      <c r="AG31" s="104" t="s">
        <v>2183</v>
      </c>
    </row>
    <row r="32" spans="1:33" s="104" customFormat="1" ht="15" customHeight="1">
      <c r="A32" s="169"/>
      <c r="B32" s="147"/>
      <c r="C32" s="148" t="str">
        <f>'Dummy Table'!B49</f>
        <v>Egyesült Államok</v>
      </c>
      <c r="D32" s="149" t="s">
        <v>3971</v>
      </c>
      <c r="E32" s="148" t="str">
        <f>"'Countries and Timezone'!"&amp;VLOOKUP(V198,$C$7:$D$38,2,FALSE)</f>
        <v>'Countries and Timezone'!B32</v>
      </c>
      <c r="F32" s="104">
        <v>26</v>
      </c>
      <c r="H32" s="104">
        <f t="shared" si="3"/>
        <v>10</v>
      </c>
      <c r="I32" s="119">
        <v>31</v>
      </c>
      <c r="J32" s="137" t="s">
        <v>247</v>
      </c>
      <c r="K32" s="137">
        <v>5</v>
      </c>
      <c r="L32" s="138">
        <v>0.20833333333333334</v>
      </c>
      <c r="M32" s="119"/>
      <c r="N32" s="119"/>
      <c r="O32" s="141">
        <v>31</v>
      </c>
      <c r="P32" s="142">
        <f t="shared" si="1"/>
        <v>41812.541666666664</v>
      </c>
      <c r="Q32" s="143">
        <v>41812.541666666664</v>
      </c>
      <c r="R32" s="144">
        <f t="shared" si="2"/>
        <v>41812.708333333328</v>
      </c>
      <c r="T32" s="145"/>
      <c r="U32" s="145"/>
      <c r="V32" s="145"/>
      <c r="W32" s="145"/>
      <c r="X32" s="145"/>
      <c r="Y32" s="145"/>
      <c r="Z32" s="145"/>
      <c r="AA32" s="145"/>
      <c r="AB32" s="145"/>
      <c r="AC32" s="145"/>
      <c r="AG32" s="102" t="s">
        <v>2182</v>
      </c>
    </row>
    <row r="33" spans="1:33" s="104" customFormat="1" ht="15" customHeight="1">
      <c r="A33" s="169"/>
      <c r="B33" s="147"/>
      <c r="C33" s="148" t="str">
        <f>'Dummy Table'!B46</f>
        <v>Németország</v>
      </c>
      <c r="D33" s="149" t="s">
        <v>3972</v>
      </c>
      <c r="E33" s="148" t="str">
        <f>"'Countries and Timezone'!"&amp;VLOOKUP(V199,$C$7:$D$38,2,FALSE)</f>
        <v>'Countries and Timezone'!B34</v>
      </c>
      <c r="F33" s="104">
        <v>27</v>
      </c>
      <c r="H33" s="104">
        <f t="shared" si="3"/>
        <v>18</v>
      </c>
      <c r="I33" s="119">
        <v>32</v>
      </c>
      <c r="J33" s="137" t="s">
        <v>248</v>
      </c>
      <c r="K33" s="137">
        <v>13</v>
      </c>
      <c r="L33" s="138">
        <v>0.54166666666666663</v>
      </c>
      <c r="M33" s="119"/>
      <c r="N33" s="119"/>
      <c r="O33" s="141">
        <v>32</v>
      </c>
      <c r="P33" s="142">
        <f t="shared" si="1"/>
        <v>41812.666666666664</v>
      </c>
      <c r="Q33" s="151">
        <v>41812.666666666664</v>
      </c>
      <c r="R33" s="144">
        <f t="shared" si="2"/>
        <v>41812.833333333328</v>
      </c>
      <c r="T33" s="145"/>
      <c r="U33" s="145"/>
      <c r="V33" s="145"/>
      <c r="W33" s="145"/>
      <c r="X33" s="145"/>
      <c r="Y33" s="145"/>
      <c r="Z33" s="145"/>
      <c r="AA33" s="145"/>
      <c r="AB33" s="145"/>
      <c r="AC33" s="145"/>
      <c r="AG33" s="102" t="s">
        <v>366</v>
      </c>
    </row>
    <row r="34" spans="1:33" s="104" customFormat="1" ht="15" customHeight="1">
      <c r="A34" s="169"/>
      <c r="B34" s="147"/>
      <c r="C34" s="148" t="str">
        <f>'Dummy Table'!B47</f>
        <v>Portugália</v>
      </c>
      <c r="D34" s="149" t="s">
        <v>3973</v>
      </c>
      <c r="E34" s="148" t="str">
        <f>"'Countries and Timezone'!"&amp;VLOOKUP(V200,$C$7:$D$38,2,FALSE)</f>
        <v>'Countries and Timezone'!B31</v>
      </c>
      <c r="F34" s="104">
        <v>28</v>
      </c>
      <c r="H34" s="104">
        <f t="shared" si="3"/>
        <v>10</v>
      </c>
      <c r="I34" s="119">
        <v>33</v>
      </c>
      <c r="J34" s="137" t="s">
        <v>249</v>
      </c>
      <c r="K34" s="137">
        <v>5</v>
      </c>
      <c r="L34" s="138">
        <v>0.20833333333333334</v>
      </c>
      <c r="M34" s="119"/>
      <c r="N34" s="119"/>
      <c r="O34" s="141">
        <v>33</v>
      </c>
      <c r="P34" s="142">
        <f t="shared" ref="P34:P65" si="4">Q34</f>
        <v>41813.708333333336</v>
      </c>
      <c r="Q34" s="151">
        <v>41813.708333333336</v>
      </c>
      <c r="R34" s="144">
        <f t="shared" ref="R34:R65" si="5">IF(M$2&gt;0,Q34+N$2,Q34-N$2)</f>
        <v>41813.875</v>
      </c>
      <c r="T34" s="145"/>
      <c r="U34" s="145"/>
      <c r="V34" s="145"/>
      <c r="W34" s="145"/>
      <c r="X34" s="145"/>
      <c r="Y34" s="145"/>
      <c r="Z34" s="145"/>
      <c r="AA34" s="145"/>
      <c r="AB34" s="145"/>
      <c r="AC34" s="145"/>
      <c r="AG34" s="102" t="s">
        <v>363</v>
      </c>
    </row>
    <row r="35" spans="1:33" s="104" customFormat="1" ht="15" customHeight="1">
      <c r="A35" s="169" t="s">
        <v>386</v>
      </c>
      <c r="B35" s="147"/>
      <c r="C35" s="148" t="str">
        <f>'Dummy Table'!B55</f>
        <v>Oroszország</v>
      </c>
      <c r="D35" s="149" t="s">
        <v>3974</v>
      </c>
      <c r="E35" s="148" t="str">
        <f>"'Countries and Timezone'!"&amp;VLOOKUP(V203,$C$7:$D$38,2,FALSE)</f>
        <v>'Countries and Timezone'!B37</v>
      </c>
      <c r="F35" s="104">
        <v>29</v>
      </c>
      <c r="H35" s="104">
        <f t="shared" si="3"/>
        <v>3.5</v>
      </c>
      <c r="I35" s="119">
        <v>34</v>
      </c>
      <c r="J35" s="137" t="s">
        <v>250</v>
      </c>
      <c r="K35" s="137">
        <v>-1.5</v>
      </c>
      <c r="L35" s="138">
        <v>6.25E-2</v>
      </c>
      <c r="M35" s="119"/>
      <c r="N35" s="119"/>
      <c r="O35" s="141">
        <v>34</v>
      </c>
      <c r="P35" s="142">
        <f t="shared" si="4"/>
        <v>41813.708333333336</v>
      </c>
      <c r="Q35" s="151">
        <v>41813.708333333336</v>
      </c>
      <c r="R35" s="144">
        <f t="shared" si="5"/>
        <v>41813.875</v>
      </c>
      <c r="T35" s="145"/>
      <c r="U35" s="145"/>
      <c r="V35" s="145"/>
      <c r="W35" s="145"/>
      <c r="X35" s="145"/>
      <c r="Y35" s="145"/>
      <c r="Z35" s="145"/>
      <c r="AA35" s="145"/>
      <c r="AB35" s="145"/>
      <c r="AC35" s="145"/>
      <c r="AG35" s="104" t="s">
        <v>3855</v>
      </c>
    </row>
    <row r="36" spans="1:33" s="104" customFormat="1" ht="15" customHeight="1">
      <c r="A36" s="169"/>
      <c r="B36" s="147"/>
      <c r="C36" s="148" t="str">
        <f>'Dummy Table'!B56</f>
        <v>Dél-Kórea</v>
      </c>
      <c r="D36" s="149" t="s">
        <v>3975</v>
      </c>
      <c r="E36" s="148" t="str">
        <f>"'Countries and Timezone'!"&amp;VLOOKUP(V204,$C$7:$D$38,2,FALSE)</f>
        <v>'Countries and Timezone'!B38</v>
      </c>
      <c r="F36" s="104">
        <v>30</v>
      </c>
      <c r="H36" s="104">
        <f t="shared" si="3"/>
        <v>8</v>
      </c>
      <c r="I36" s="119">
        <v>35</v>
      </c>
      <c r="J36" s="137" t="s">
        <v>251</v>
      </c>
      <c r="K36" s="137">
        <v>3</v>
      </c>
      <c r="L36" s="138">
        <v>0.125</v>
      </c>
      <c r="M36" s="119"/>
      <c r="N36" s="119"/>
      <c r="O36" s="141">
        <v>35</v>
      </c>
      <c r="P36" s="142">
        <f t="shared" si="4"/>
        <v>41813.541666666664</v>
      </c>
      <c r="Q36" s="151">
        <v>41813.541666666664</v>
      </c>
      <c r="R36" s="144">
        <f t="shared" si="5"/>
        <v>41813.708333333328</v>
      </c>
      <c r="T36" s="145"/>
      <c r="U36" s="145"/>
      <c r="V36" s="145"/>
      <c r="W36" s="145"/>
      <c r="X36" s="145"/>
      <c r="Y36" s="145"/>
      <c r="Z36" s="145"/>
      <c r="AA36" s="145"/>
      <c r="AB36" s="145"/>
      <c r="AC36" s="145"/>
      <c r="AE36" s="104">
        <f>SUM(W191:W194)</f>
        <v>12</v>
      </c>
      <c r="AG36" s="102" t="s">
        <v>364</v>
      </c>
    </row>
    <row r="37" spans="1:33" s="104" customFormat="1" ht="15" customHeight="1">
      <c r="A37" s="169"/>
      <c r="B37" s="147"/>
      <c r="C37" s="148" t="str">
        <f>'Dummy Table'!B53</f>
        <v>Belgium</v>
      </c>
      <c r="D37" s="149" t="s">
        <v>3976</v>
      </c>
      <c r="E37" s="148" t="str">
        <f>"'Countries and Timezone'!"&amp;VLOOKUP(V205,$C$7:$D$38,2,FALSE)</f>
        <v>'Countries and Timezone'!B35</v>
      </c>
      <c r="F37" s="104">
        <v>31</v>
      </c>
      <c r="H37" s="104">
        <f t="shared" si="3"/>
        <v>3</v>
      </c>
      <c r="I37" s="119">
        <v>36</v>
      </c>
      <c r="J37" s="137" t="s">
        <v>252</v>
      </c>
      <c r="K37" s="137">
        <v>-2</v>
      </c>
      <c r="L37" s="138">
        <v>8.3333333333333329E-2</v>
      </c>
      <c r="M37" s="119"/>
      <c r="N37" s="119"/>
      <c r="O37" s="141">
        <v>36</v>
      </c>
      <c r="P37" s="142">
        <f t="shared" si="4"/>
        <v>41813.541666666664</v>
      </c>
      <c r="Q37" s="151">
        <v>41813.541666666664</v>
      </c>
      <c r="R37" s="144">
        <f t="shared" si="5"/>
        <v>41813.708333333328</v>
      </c>
      <c r="T37" s="145"/>
      <c r="U37" s="145"/>
      <c r="V37" s="145"/>
      <c r="W37" s="145"/>
      <c r="X37" s="145"/>
      <c r="Y37" s="145"/>
      <c r="Z37" s="145"/>
      <c r="AA37" s="145"/>
      <c r="AB37" s="145"/>
      <c r="AC37" s="145"/>
      <c r="AG37" s="112" t="s">
        <v>4156</v>
      </c>
    </row>
    <row r="38" spans="1:33" s="104" customFormat="1" ht="15" customHeight="1">
      <c r="A38" s="169"/>
      <c r="B38" s="147"/>
      <c r="C38" s="148" t="str">
        <f>'Dummy Table'!B54</f>
        <v>Algéria</v>
      </c>
      <c r="D38" s="149" t="s">
        <v>3977</v>
      </c>
      <c r="E38" s="148" t="str">
        <f>"'Countries and Timezone'!"&amp;VLOOKUP(V206,$C$7:$D$38,2,FALSE)</f>
        <v>'Countries and Timezone'!B36</v>
      </c>
      <c r="F38" s="104">
        <v>32</v>
      </c>
      <c r="H38" s="104">
        <f t="shared" si="3"/>
        <v>10</v>
      </c>
      <c r="I38" s="119">
        <v>37</v>
      </c>
      <c r="J38" s="137" t="s">
        <v>253</v>
      </c>
      <c r="K38" s="137">
        <v>5</v>
      </c>
      <c r="L38" s="138">
        <v>0.20833333333333334</v>
      </c>
      <c r="M38" s="119"/>
      <c r="N38" s="119"/>
      <c r="O38" s="141">
        <v>37</v>
      </c>
      <c r="P38" s="142">
        <f t="shared" si="4"/>
        <v>41814.708333333336</v>
      </c>
      <c r="Q38" s="151">
        <v>41814.708333333336</v>
      </c>
      <c r="R38" s="144">
        <f t="shared" si="5"/>
        <v>41814.875</v>
      </c>
      <c r="T38" s="145"/>
      <c r="U38" s="145"/>
      <c r="V38" s="145"/>
      <c r="W38" s="145"/>
      <c r="X38" s="145"/>
      <c r="Y38" s="145"/>
      <c r="Z38" s="145"/>
      <c r="AA38" s="145"/>
      <c r="AB38" s="145"/>
      <c r="AC38" s="145"/>
      <c r="AG38" s="102" t="s">
        <v>361</v>
      </c>
    </row>
    <row r="39" spans="1:33" s="104" customFormat="1" ht="15" customHeight="1">
      <c r="B39" s="136"/>
      <c r="H39" s="104">
        <f t="shared" si="3"/>
        <v>17.5</v>
      </c>
      <c r="I39" s="119">
        <v>38</v>
      </c>
      <c r="J39" s="137" t="s">
        <v>254</v>
      </c>
      <c r="K39" s="137">
        <v>12.5</v>
      </c>
      <c r="L39" s="138">
        <v>0.52083333333333337</v>
      </c>
      <c r="M39" s="119"/>
      <c r="N39" s="119"/>
      <c r="O39" s="141">
        <v>38</v>
      </c>
      <c r="P39" s="142">
        <f t="shared" si="4"/>
        <v>41814.708333333336</v>
      </c>
      <c r="Q39" s="151">
        <v>41814.708333333336</v>
      </c>
      <c r="R39" s="144">
        <f t="shared" si="5"/>
        <v>41814.875</v>
      </c>
      <c r="T39" s="145"/>
      <c r="U39" s="145"/>
      <c r="V39" s="145"/>
      <c r="W39" s="145"/>
      <c r="X39" s="145"/>
      <c r="Y39" s="145"/>
      <c r="Z39" s="145"/>
      <c r="AA39" s="145"/>
      <c r="AB39" s="145"/>
      <c r="AC39" s="145"/>
    </row>
    <row r="40" spans="1:33" s="104" customFormat="1" ht="15" customHeight="1">
      <c r="B40" s="136"/>
      <c r="C40" s="104" t="str">
        <f>Tournament!$H$67</f>
        <v>Brazília</v>
      </c>
      <c r="E40" s="104" t="str">
        <f>IF(ISERROR("'Countries and Timezone'!"&amp;VLOOKUP(C40,'Countries and Timezone'!$C$7:$D$38,2,FALSE)),"'Countries and Timezone'!b39","'Countries and Timezone'!"&amp;VLOOKUP(C40,'Countries and Timezone'!$C$7:$D$38,2,FALSE))</f>
        <v>'Countries and Timezone'!B7</v>
      </c>
      <c r="H40" s="104">
        <f t="shared" si="3"/>
        <v>2</v>
      </c>
      <c r="I40" s="119">
        <v>39</v>
      </c>
      <c r="J40" s="137" t="s">
        <v>255</v>
      </c>
      <c r="K40" s="137">
        <v>-3</v>
      </c>
      <c r="L40" s="138">
        <v>0.125</v>
      </c>
      <c r="M40" s="119"/>
      <c r="N40" s="119"/>
      <c r="O40" s="141">
        <v>39</v>
      </c>
      <c r="P40" s="142">
        <f t="shared" si="4"/>
        <v>41814.541666666664</v>
      </c>
      <c r="Q40" s="151">
        <v>41814.541666666664</v>
      </c>
      <c r="R40" s="144">
        <f t="shared" si="5"/>
        <v>41814.708333333328</v>
      </c>
      <c r="T40" s="145"/>
      <c r="U40" s="145"/>
      <c r="V40" s="145"/>
      <c r="W40" s="145"/>
      <c r="X40" s="145"/>
      <c r="Y40" s="145"/>
      <c r="Z40" s="145"/>
      <c r="AA40" s="145"/>
      <c r="AB40" s="145"/>
      <c r="AC40" s="145"/>
    </row>
    <row r="41" spans="1:33" s="104" customFormat="1" ht="15" customHeight="1">
      <c r="B41" s="136"/>
      <c r="C41" s="104" t="str">
        <f>Tournament!$N$67</f>
        <v>Chile</v>
      </c>
      <c r="E41" s="104" t="str">
        <f>IF(ISERROR("'Countries and Timezone'!"&amp;VLOOKUP(C41,'Countries and Timezone'!$C$7:$D$38,2,FALSE)),"'Countries and Timezone'!b39","'Countries and Timezone'!"&amp;VLOOKUP(C41,'Countries and Timezone'!$C$7:$D$38,2,FALSE))</f>
        <v>'Countries and Timezone'!B13</v>
      </c>
      <c r="H41" s="104">
        <f t="shared" si="3"/>
        <v>4</v>
      </c>
      <c r="I41" s="119">
        <v>40</v>
      </c>
      <c r="J41" s="137" t="s">
        <v>256</v>
      </c>
      <c r="K41" s="137">
        <v>-1</v>
      </c>
      <c r="L41" s="138">
        <v>4.1666666666666664E-2</v>
      </c>
      <c r="M41" s="119"/>
      <c r="N41" s="119"/>
      <c r="O41" s="141">
        <v>40</v>
      </c>
      <c r="P41" s="142">
        <f t="shared" si="4"/>
        <v>41814.541666666664</v>
      </c>
      <c r="Q41" s="151">
        <v>41814.541666666664</v>
      </c>
      <c r="R41" s="144">
        <f t="shared" si="5"/>
        <v>41814.708333333328</v>
      </c>
      <c r="T41" s="145"/>
      <c r="U41" s="145"/>
      <c r="V41" s="145"/>
      <c r="W41" s="145"/>
      <c r="X41" s="145"/>
      <c r="Y41" s="145"/>
      <c r="Z41" s="145"/>
      <c r="AA41" s="145"/>
      <c r="AB41" s="145"/>
      <c r="AC41" s="145"/>
    </row>
    <row r="42" spans="1:33" s="104" customFormat="1" ht="15" customHeight="1">
      <c r="B42" s="136"/>
      <c r="C42" s="104" t="str">
        <f>Tournament!H73</f>
        <v>Colombia</v>
      </c>
      <c r="E42" s="104" t="str">
        <f>IF(ISERROR("'Countries and Timezone'!"&amp;VLOOKUP(C42,'Countries and Timezone'!$C$7:$D$38,2,FALSE)),"'Countries and Timezone'!b39","'Countries and Timezone'!"&amp;VLOOKUP(C42,'Countries and Timezone'!$C$7:$D$38,2,FALSE))</f>
        <v>'Countries and Timezone'!B15</v>
      </c>
      <c r="H42" s="104">
        <f t="shared" si="3"/>
        <v>14</v>
      </c>
      <c r="I42" s="119">
        <v>41</v>
      </c>
      <c r="J42" s="137" t="s">
        <v>257</v>
      </c>
      <c r="K42" s="137">
        <v>9</v>
      </c>
      <c r="L42" s="138">
        <v>0.375</v>
      </c>
      <c r="M42" s="119"/>
      <c r="N42" s="119"/>
      <c r="O42" s="141">
        <v>41</v>
      </c>
      <c r="P42" s="142">
        <f t="shared" si="4"/>
        <v>41815.708333333336</v>
      </c>
      <c r="Q42" s="151">
        <v>41815.708333333336</v>
      </c>
      <c r="R42" s="144">
        <f t="shared" si="5"/>
        <v>41815.875</v>
      </c>
      <c r="T42" s="145"/>
      <c r="U42" s="145"/>
      <c r="V42" s="145"/>
      <c r="W42" s="145"/>
      <c r="X42" s="145"/>
      <c r="Y42" s="145"/>
      <c r="Z42" s="145"/>
      <c r="AA42" s="145"/>
      <c r="AB42" s="145"/>
      <c r="AC42" s="145"/>
      <c r="AE42" s="104">
        <f>SUM(W197:W200)</f>
        <v>12</v>
      </c>
    </row>
    <row r="43" spans="1:33" s="104" customFormat="1" ht="15" customHeight="1">
      <c r="B43" s="136"/>
      <c r="C43" s="104" t="str">
        <f>Tournament!N73</f>
        <v>Uruguaj</v>
      </c>
      <c r="E43" s="104" t="str">
        <f>IF(ISERROR("'Countries and Timezone'!"&amp;VLOOKUP(C43,'Countries and Timezone'!$C$7:$D$38,2,FALSE)),"'Countries and Timezone'!b39","'Countries and Timezone'!"&amp;VLOOKUP(C43,'Countries and Timezone'!$C$7:$D$38,2,FALSE))</f>
        <v>'Countries and Timezone'!B19</v>
      </c>
      <c r="H43" s="104">
        <f t="shared" si="3"/>
        <v>12</v>
      </c>
      <c r="I43" s="119">
        <v>42</v>
      </c>
      <c r="J43" s="137" t="s">
        <v>258</v>
      </c>
      <c r="K43" s="137">
        <v>7</v>
      </c>
      <c r="L43" s="138">
        <v>0.29166666666666669</v>
      </c>
      <c r="M43" s="119"/>
      <c r="N43" s="119"/>
      <c r="O43" s="141">
        <v>42</v>
      </c>
      <c r="P43" s="142">
        <f t="shared" si="4"/>
        <v>41815.708333333336</v>
      </c>
      <c r="Q43" s="151">
        <v>41815.708333333336</v>
      </c>
      <c r="R43" s="144">
        <f t="shared" si="5"/>
        <v>41815.875</v>
      </c>
      <c r="T43" s="145"/>
      <c r="U43" s="145"/>
      <c r="V43" s="145"/>
      <c r="W43" s="145"/>
      <c r="X43" s="145"/>
      <c r="Y43" s="145"/>
      <c r="Z43" s="145"/>
      <c r="AA43" s="145"/>
      <c r="AB43" s="145"/>
      <c r="AC43" s="145"/>
    </row>
    <row r="44" spans="1:33" s="104" customFormat="1" ht="15" customHeight="1">
      <c r="B44" s="136"/>
      <c r="C44" s="104" t="str">
        <f>Tournament!H79</f>
        <v>Hollandia</v>
      </c>
      <c r="E44" s="104" t="str">
        <f>IF(ISERROR("'Countries and Timezone'!"&amp;VLOOKUP(C44,'Countries and Timezone'!$C$7:$D$38,2,FALSE)),"'Countries and Timezone'!b39","'Countries and Timezone'!"&amp;VLOOKUP(C44,'Countries and Timezone'!$C$7:$D$38,2,FALSE))</f>
        <v>'Countries and Timezone'!B12</v>
      </c>
      <c r="H44" s="104">
        <f t="shared" si="3"/>
        <v>9</v>
      </c>
      <c r="I44" s="119">
        <v>43</v>
      </c>
      <c r="J44" s="137" t="s">
        <v>259</v>
      </c>
      <c r="K44" s="137">
        <v>4</v>
      </c>
      <c r="L44" s="138">
        <v>0.16666666666666666</v>
      </c>
      <c r="M44" s="119"/>
      <c r="N44" s="119"/>
      <c r="O44" s="141">
        <v>43</v>
      </c>
      <c r="P44" s="142">
        <f t="shared" si="4"/>
        <v>41815.541666666664</v>
      </c>
      <c r="Q44" s="151">
        <v>41815.541666666664</v>
      </c>
      <c r="R44" s="144">
        <f t="shared" si="5"/>
        <v>41815.708333333328</v>
      </c>
      <c r="T44" s="145"/>
      <c r="U44" s="145"/>
      <c r="V44" s="145"/>
      <c r="W44" s="145"/>
      <c r="X44" s="145"/>
      <c r="Y44" s="145"/>
      <c r="Z44" s="145"/>
      <c r="AA44" s="145"/>
      <c r="AB44" s="145"/>
      <c r="AC44" s="145"/>
    </row>
    <row r="45" spans="1:33" s="104" customFormat="1" ht="15" customHeight="1">
      <c r="B45" s="136"/>
      <c r="C45" s="104" t="str">
        <f>Tournament!N79</f>
        <v>Mexikó</v>
      </c>
      <c r="E45" s="104" t="str">
        <f>IF(ISERROR("'Countries and Timezone'!"&amp;VLOOKUP(C45,'Countries and Timezone'!$C$7:$D$38,2,FALSE)),"'Countries and Timezone'!b39","'Countries and Timezone'!"&amp;VLOOKUP(C45,'Countries and Timezone'!$C$7:$D$38,2,FALSE))</f>
        <v>'Countries and Timezone'!B9</v>
      </c>
      <c r="H45" s="104">
        <f t="shared" si="3"/>
        <v>2</v>
      </c>
      <c r="I45" s="119">
        <v>44</v>
      </c>
      <c r="J45" s="137" t="s">
        <v>260</v>
      </c>
      <c r="K45" s="137">
        <v>-3</v>
      </c>
      <c r="L45" s="138">
        <v>0.125</v>
      </c>
      <c r="M45" s="119"/>
      <c r="N45" s="119"/>
      <c r="O45" s="141">
        <v>44</v>
      </c>
      <c r="P45" s="142">
        <f t="shared" si="4"/>
        <v>41815.541666666664</v>
      </c>
      <c r="Q45" s="151">
        <v>41815.541666666664</v>
      </c>
      <c r="R45" s="144">
        <f t="shared" si="5"/>
        <v>41815.708333333328</v>
      </c>
      <c r="T45" s="145"/>
      <c r="U45" s="145"/>
      <c r="V45" s="145"/>
      <c r="W45" s="145"/>
      <c r="X45" s="145"/>
      <c r="Y45" s="145"/>
      <c r="Z45" s="145"/>
      <c r="AA45" s="145"/>
      <c r="AB45" s="145"/>
      <c r="AC45" s="145"/>
    </row>
    <row r="46" spans="1:33" s="104" customFormat="1" ht="15" customHeight="1">
      <c r="B46" s="136"/>
      <c r="C46" s="104" t="str">
        <f>Tournament!H85</f>
        <v>Costa Rica</v>
      </c>
      <c r="E46" s="104" t="str">
        <f>IF(ISERROR("'Countries and Timezone'!"&amp;VLOOKUP(C46,'Countries and Timezone'!$C$7:$D$38,2,FALSE)),"'Countries and Timezone'!b39","'Countries and Timezone'!"&amp;VLOOKUP(C46,'Countries and Timezone'!$C$7:$D$38,2,FALSE))</f>
        <v>'Countries and Timezone'!B20</v>
      </c>
      <c r="H46" s="104">
        <f t="shared" si="3"/>
        <v>10</v>
      </c>
      <c r="I46" s="119">
        <v>45</v>
      </c>
      <c r="J46" s="137" t="s">
        <v>261</v>
      </c>
      <c r="K46" s="137">
        <v>5</v>
      </c>
      <c r="L46" s="138">
        <v>0.20833333333333334</v>
      </c>
      <c r="M46" s="119"/>
      <c r="N46" s="119"/>
      <c r="O46" s="141">
        <v>45</v>
      </c>
      <c r="P46" s="142">
        <f t="shared" si="4"/>
        <v>41816.541666666664</v>
      </c>
      <c r="Q46" s="151">
        <v>41816.541666666664</v>
      </c>
      <c r="R46" s="144">
        <f t="shared" si="5"/>
        <v>41816.708333333328</v>
      </c>
      <c r="T46" s="145"/>
      <c r="U46" s="145"/>
      <c r="V46" s="145"/>
      <c r="W46" s="145"/>
      <c r="X46" s="145"/>
      <c r="Y46" s="145"/>
      <c r="Z46" s="145"/>
      <c r="AA46" s="145"/>
      <c r="AB46" s="145"/>
      <c r="AC46" s="145"/>
    </row>
    <row r="47" spans="1:33" s="104" customFormat="1" ht="15" customHeight="1">
      <c r="B47" s="136"/>
      <c r="C47" s="104" t="str">
        <f>Tournament!N85</f>
        <v>Görögország</v>
      </c>
      <c r="E47" s="104" t="str">
        <f>IF(ISERROR("'Countries and Timezone'!"&amp;VLOOKUP(C47,'Countries and Timezone'!$C$7:$D$38,2,FALSE)),"'Countries and Timezone'!b39","'Countries and Timezone'!"&amp;VLOOKUP(C47,'Countries and Timezone'!$C$7:$D$38,2,FALSE))</f>
        <v>'Countries and Timezone'!B16</v>
      </c>
      <c r="H47" s="104">
        <f t="shared" si="3"/>
        <v>10</v>
      </c>
      <c r="I47" s="119">
        <v>46</v>
      </c>
      <c r="J47" s="137" t="s">
        <v>262</v>
      </c>
      <c r="K47" s="137">
        <v>5</v>
      </c>
      <c r="L47" s="138">
        <v>0.20833333333333334</v>
      </c>
      <c r="M47" s="119"/>
      <c r="N47" s="119"/>
      <c r="O47" s="141">
        <v>46</v>
      </c>
      <c r="P47" s="142">
        <f t="shared" si="4"/>
        <v>41816.541666666664</v>
      </c>
      <c r="Q47" s="151">
        <v>41816.541666666664</v>
      </c>
      <c r="R47" s="144">
        <f t="shared" si="5"/>
        <v>41816.708333333328</v>
      </c>
      <c r="T47" s="145"/>
      <c r="U47" s="145"/>
      <c r="V47" s="145"/>
      <c r="W47" s="145"/>
      <c r="X47" s="145"/>
      <c r="Y47" s="145"/>
      <c r="Z47" s="145"/>
      <c r="AA47" s="145"/>
      <c r="AB47" s="145"/>
      <c r="AC47" s="145"/>
    </row>
    <row r="48" spans="1:33" s="104" customFormat="1" ht="15" customHeight="1">
      <c r="B48" s="136"/>
      <c r="C48" s="104" t="str">
        <f>Tournament!H91</f>
        <v>Franciaország</v>
      </c>
      <c r="E48" s="104" t="str">
        <f>IF(ISERROR("'Countries and Timezone'!"&amp;VLOOKUP(C48,'Countries and Timezone'!$C$7:$D$38,2,FALSE)),"'Countries and Timezone'!b39","'Countries and Timezone'!"&amp;VLOOKUP(C48,'Countries and Timezone'!$C$7:$D$38,2,FALSE))</f>
        <v>'Countries and Timezone'!B25</v>
      </c>
      <c r="H48" s="104">
        <f t="shared" si="3"/>
        <v>2</v>
      </c>
      <c r="I48" s="119">
        <v>47</v>
      </c>
      <c r="J48" s="137" t="s">
        <v>263</v>
      </c>
      <c r="K48" s="137">
        <v>-3</v>
      </c>
      <c r="L48" s="138">
        <v>0.125</v>
      </c>
      <c r="M48" s="119"/>
      <c r="N48" s="119"/>
      <c r="O48" s="141">
        <v>47</v>
      </c>
      <c r="P48" s="142">
        <f t="shared" si="4"/>
        <v>41816.708333333336</v>
      </c>
      <c r="Q48" s="151">
        <v>41816.708333333336</v>
      </c>
      <c r="R48" s="144">
        <f t="shared" si="5"/>
        <v>41816.875</v>
      </c>
      <c r="T48" s="145"/>
      <c r="U48" s="145"/>
      <c r="V48" s="145"/>
      <c r="W48" s="145"/>
      <c r="X48" s="145"/>
      <c r="Y48" s="145"/>
      <c r="Z48" s="145"/>
      <c r="AA48" s="145"/>
      <c r="AB48" s="145"/>
      <c r="AC48" s="145"/>
      <c r="AE48" s="104">
        <f>SUM(W203:W206)</f>
        <v>12</v>
      </c>
    </row>
    <row r="49" spans="2:29" s="104" customFormat="1" ht="15" customHeight="1">
      <c r="B49" s="136"/>
      <c r="C49" s="104" t="str">
        <f>Tournament!N91</f>
        <v>Nigéria</v>
      </c>
      <c r="E49" s="104" t="str">
        <f>IF(ISERROR("'Countries and Timezone'!"&amp;VLOOKUP(C49,'Countries and Timezone'!$C$7:$D$38,2,FALSE)),"'Countries and Timezone'!b39","'Countries and Timezone'!"&amp;VLOOKUP(C49,'Countries and Timezone'!$C$7:$D$38,2,FALSE))</f>
        <v>'Countries and Timezone'!B30</v>
      </c>
      <c r="H49" s="104">
        <f t="shared" si="3"/>
        <v>5</v>
      </c>
      <c r="I49" s="119">
        <v>48</v>
      </c>
      <c r="J49" s="137" t="s">
        <v>264</v>
      </c>
      <c r="K49" s="137">
        <v>0</v>
      </c>
      <c r="L49" s="138">
        <v>0</v>
      </c>
      <c r="M49" s="119"/>
      <c r="N49" s="119"/>
      <c r="O49" s="141">
        <v>48</v>
      </c>
      <c r="P49" s="142">
        <f t="shared" si="4"/>
        <v>41816.708333333336</v>
      </c>
      <c r="Q49" s="151">
        <v>41816.708333333336</v>
      </c>
      <c r="R49" s="144">
        <f t="shared" si="5"/>
        <v>41816.875</v>
      </c>
      <c r="T49" s="145"/>
      <c r="U49" s="145"/>
      <c r="V49" s="145"/>
      <c r="W49" s="145"/>
      <c r="X49" s="145"/>
      <c r="Y49" s="145"/>
      <c r="Z49" s="145"/>
      <c r="AA49" s="145"/>
      <c r="AB49" s="145"/>
      <c r="AC49" s="145"/>
    </row>
    <row r="50" spans="2:29" s="104" customFormat="1" ht="15" customHeight="1">
      <c r="B50" s="136"/>
      <c r="C50" s="104" t="str">
        <f>Tournament!H97</f>
        <v>Németország</v>
      </c>
      <c r="E50" s="104" t="str">
        <f>IF(ISERROR("'Countries and Timezone'!"&amp;VLOOKUP(C50,'Countries and Timezone'!$C$7:$D$38,2,FALSE)),"'Countries and Timezone'!b39","'Countries and Timezone'!"&amp;VLOOKUP(C50,'Countries and Timezone'!$C$7:$D$38,2,FALSE))</f>
        <v>'Countries and Timezone'!B33</v>
      </c>
      <c r="H50" s="104">
        <f t="shared" si="3"/>
        <v>15</v>
      </c>
      <c r="I50" s="119">
        <v>49</v>
      </c>
      <c r="J50" s="137" t="s">
        <v>265</v>
      </c>
      <c r="K50" s="137">
        <v>10</v>
      </c>
      <c r="L50" s="138">
        <v>0.41666666666666669</v>
      </c>
      <c r="M50" s="119"/>
      <c r="N50" s="119"/>
      <c r="O50" s="141">
        <v>49</v>
      </c>
      <c r="P50" s="142">
        <f t="shared" si="4"/>
        <v>41818.541666666664</v>
      </c>
      <c r="Q50" s="151">
        <v>41818.541666666664</v>
      </c>
      <c r="R50" s="144">
        <f t="shared" si="5"/>
        <v>41818.708333333328</v>
      </c>
      <c r="T50" s="145"/>
      <c r="U50" s="145"/>
      <c r="V50" s="145"/>
      <c r="W50" s="145"/>
      <c r="X50" s="145"/>
      <c r="Y50" s="145"/>
      <c r="Z50" s="145"/>
      <c r="AA50" s="145"/>
      <c r="AB50" s="145"/>
      <c r="AC50" s="145"/>
    </row>
    <row r="51" spans="2:29" s="104" customFormat="1" ht="15" customHeight="1">
      <c r="B51" s="136"/>
      <c r="C51" s="104" t="str">
        <f>Tournament!N97</f>
        <v>Algéria</v>
      </c>
      <c r="E51" s="104" t="str">
        <f>IF(ISERROR("'Countries and Timezone'!"&amp;VLOOKUP(C51,'Countries and Timezone'!$C$7:$D$38,2,FALSE)),"'Countries and Timezone'!b39","'Countries and Timezone'!"&amp;VLOOKUP(C51,'Countries and Timezone'!$C$7:$D$38,2,FALSE))</f>
        <v>'Countries and Timezone'!B38</v>
      </c>
      <c r="H51" s="104">
        <f t="shared" si="3"/>
        <v>10</v>
      </c>
      <c r="I51" s="119">
        <v>50</v>
      </c>
      <c r="J51" s="137" t="s">
        <v>266</v>
      </c>
      <c r="K51" s="137">
        <v>5</v>
      </c>
      <c r="L51" s="138">
        <v>0.20833333333333334</v>
      </c>
      <c r="M51" s="119"/>
      <c r="N51" s="119"/>
      <c r="O51" s="141">
        <v>50</v>
      </c>
      <c r="P51" s="142">
        <f t="shared" si="4"/>
        <v>41818.708333333336</v>
      </c>
      <c r="Q51" s="151">
        <v>41818.708333333336</v>
      </c>
      <c r="R51" s="144">
        <f t="shared" si="5"/>
        <v>41818.875</v>
      </c>
      <c r="T51" s="145"/>
      <c r="U51" s="145"/>
      <c r="V51" s="145"/>
      <c r="W51" s="145"/>
      <c r="X51" s="145"/>
      <c r="Y51" s="145"/>
      <c r="Z51" s="145"/>
      <c r="AA51" s="145"/>
      <c r="AB51" s="145"/>
      <c r="AC51" s="145"/>
    </row>
    <row r="52" spans="2:29" s="104" customFormat="1" ht="15" customHeight="1">
      <c r="B52" s="136"/>
      <c r="C52" s="104" t="str">
        <f>Tournament!H103</f>
        <v>Argentína</v>
      </c>
      <c r="E52" s="104" t="str">
        <f>IF(ISERROR("'Countries and Timezone'!"&amp;VLOOKUP(C52,'Countries and Timezone'!$C$7:$D$38,2,FALSE)),"'Countries and Timezone'!b39","'Countries and Timezone'!"&amp;VLOOKUP(C52,'Countries and Timezone'!$C$7:$D$38,2,FALSE))</f>
        <v>'Countries and Timezone'!B27</v>
      </c>
      <c r="H52" s="104">
        <f t="shared" si="3"/>
        <v>4</v>
      </c>
      <c r="I52" s="119">
        <v>51</v>
      </c>
      <c r="J52" s="137" t="s">
        <v>267</v>
      </c>
      <c r="K52" s="137">
        <v>-1</v>
      </c>
      <c r="L52" s="138">
        <v>4.1666666666666664E-2</v>
      </c>
      <c r="M52" s="119"/>
      <c r="N52" s="119"/>
      <c r="O52" s="141">
        <v>51</v>
      </c>
      <c r="P52" s="142">
        <f t="shared" si="4"/>
        <v>41819.541666666664</v>
      </c>
      <c r="Q52" s="151">
        <v>41819.541666666664</v>
      </c>
      <c r="R52" s="144">
        <f t="shared" si="5"/>
        <v>41819.708333333328</v>
      </c>
      <c r="T52" s="145"/>
      <c r="U52" s="145"/>
      <c r="V52" s="145"/>
      <c r="W52" s="145"/>
      <c r="X52" s="145"/>
      <c r="Y52" s="145"/>
      <c r="Z52" s="145"/>
      <c r="AA52" s="145"/>
      <c r="AB52" s="145"/>
      <c r="AC52" s="145"/>
    </row>
    <row r="53" spans="2:29" s="104" customFormat="1" ht="15" customHeight="1">
      <c r="B53" s="136"/>
      <c r="C53" s="104" t="str">
        <f>Tournament!N103</f>
        <v>Svájc</v>
      </c>
      <c r="E53" s="104" t="str">
        <f>IF(ISERROR("'Countries and Timezone'!"&amp;VLOOKUP(C53,'Countries and Timezone'!$C$7:$D$38,2,FALSE)),"'Countries and Timezone'!b39","'Countries and Timezone'!"&amp;VLOOKUP(C53,'Countries and Timezone'!$C$7:$D$38,2,FALSE))</f>
        <v>'Countries and Timezone'!B23</v>
      </c>
      <c r="H53" s="104">
        <f t="shared" si="3"/>
        <v>11</v>
      </c>
      <c r="I53" s="119">
        <v>52</v>
      </c>
      <c r="J53" s="137" t="s">
        <v>268</v>
      </c>
      <c r="K53" s="137">
        <v>6</v>
      </c>
      <c r="L53" s="138">
        <v>0.25</v>
      </c>
      <c r="M53" s="119"/>
      <c r="N53" s="119"/>
      <c r="O53" s="141">
        <v>52</v>
      </c>
      <c r="P53" s="142">
        <f t="shared" si="4"/>
        <v>41819.708333333336</v>
      </c>
      <c r="Q53" s="151">
        <v>41819.708333333336</v>
      </c>
      <c r="R53" s="144">
        <f t="shared" si="5"/>
        <v>41819.875</v>
      </c>
      <c r="T53" s="86"/>
      <c r="U53" s="86"/>
      <c r="V53" s="86"/>
      <c r="W53" s="86"/>
      <c r="X53" s="86"/>
      <c r="Y53" s="86"/>
      <c r="Z53" s="86"/>
      <c r="AA53" s="86"/>
      <c r="AB53" s="86"/>
      <c r="AC53" s="86"/>
    </row>
    <row r="54" spans="2:29" s="104" customFormat="1" ht="15" customHeight="1">
      <c r="B54" s="136"/>
      <c r="C54" s="104" t="str">
        <f>Tournament!H109</f>
        <v>Belgium</v>
      </c>
      <c r="E54" s="104" t="str">
        <f>IF(ISERROR("'Countries and Timezone'!"&amp;VLOOKUP(C54,'Countries and Timezone'!$C$7:$D$38,2,FALSE)),"'Countries and Timezone'!b39","'Countries and Timezone'!"&amp;VLOOKUP(C54,'Countries and Timezone'!$C$7:$D$38,2,FALSE))</f>
        <v>'Countries and Timezone'!B37</v>
      </c>
      <c r="H54" s="104">
        <f t="shared" si="3"/>
        <v>16</v>
      </c>
      <c r="I54" s="119">
        <v>53</v>
      </c>
      <c r="J54" s="137" t="s">
        <v>269</v>
      </c>
      <c r="K54" s="137">
        <v>11</v>
      </c>
      <c r="L54" s="138">
        <v>0.45833333333333331</v>
      </c>
      <c r="M54" s="119"/>
      <c r="N54" s="119"/>
      <c r="O54" s="141">
        <v>53</v>
      </c>
      <c r="P54" s="142">
        <f t="shared" si="4"/>
        <v>41820.541666666664</v>
      </c>
      <c r="Q54" s="151">
        <v>41820.541666666664</v>
      </c>
      <c r="R54" s="144">
        <f t="shared" si="5"/>
        <v>41820.708333333328</v>
      </c>
      <c r="T54" s="145"/>
      <c r="U54" s="145"/>
      <c r="V54" s="145"/>
      <c r="W54" s="145"/>
      <c r="X54" s="145"/>
      <c r="Y54" s="145"/>
      <c r="Z54" s="145"/>
      <c r="AA54" s="145"/>
      <c r="AB54" s="145"/>
      <c r="AC54" s="145"/>
    </row>
    <row r="55" spans="2:29" s="104" customFormat="1" ht="15" customHeight="1">
      <c r="B55" s="136"/>
      <c r="C55" s="104" t="str">
        <f>Tournament!N109</f>
        <v>Egyesült Államok</v>
      </c>
      <c r="E55" s="104" t="str">
        <f>IF(ISERROR("'Countries and Timezone'!"&amp;VLOOKUP(C55,'Countries and Timezone'!$C$7:$D$38,2,FALSE)),"'Countries and Timezone'!b39","'Countries and Timezone'!"&amp;VLOOKUP(C55,'Countries and Timezone'!$C$7:$D$38,2,FALSE))</f>
        <v>'Countries and Timezone'!B32</v>
      </c>
      <c r="H55" s="104">
        <f t="shared" si="3"/>
        <v>-2</v>
      </c>
      <c r="I55" s="119">
        <v>54</v>
      </c>
      <c r="J55" s="137" t="s">
        <v>270</v>
      </c>
      <c r="K55" s="137">
        <v>-7</v>
      </c>
      <c r="L55" s="138">
        <v>0.29166666666666669</v>
      </c>
      <c r="M55" s="119"/>
      <c r="N55" s="119"/>
      <c r="O55" s="141">
        <v>54</v>
      </c>
      <c r="P55" s="142">
        <f t="shared" si="4"/>
        <v>41820.708333333336</v>
      </c>
      <c r="Q55" s="151">
        <v>41820.708333333336</v>
      </c>
      <c r="R55" s="144">
        <f t="shared" si="5"/>
        <v>41820.875</v>
      </c>
      <c r="T55" s="145"/>
      <c r="U55" s="145"/>
      <c r="V55" s="145"/>
      <c r="W55" s="145"/>
      <c r="X55" s="145"/>
      <c r="Y55" s="145"/>
      <c r="Z55" s="145"/>
      <c r="AA55" s="145"/>
      <c r="AB55" s="145"/>
      <c r="AC55" s="145"/>
    </row>
    <row r="56" spans="2:29" s="104" customFormat="1" ht="15" customHeight="1">
      <c r="B56" s="136"/>
      <c r="C56" s="104" t="str">
        <f>Tournament!V67</f>
        <v>49. mérkőzés győztese</v>
      </c>
      <c r="E56" s="104" t="str">
        <f>IF(ISERROR("'Countries and Timezone'!"&amp;VLOOKUP(C56,'Countries and Timezone'!$C$7:$D$38,2,FALSE)),"'Countries and Timezone'!b39","'Countries and Timezone'!"&amp;VLOOKUP(C56,'Countries and Timezone'!$C$7:$D$38,2,FALSE))</f>
        <v>'Countries and Timezone'!b39</v>
      </c>
      <c r="H56" s="104">
        <f t="shared" si="3"/>
        <v>3</v>
      </c>
      <c r="I56" s="119">
        <v>55</v>
      </c>
      <c r="J56" s="137" t="s">
        <v>271</v>
      </c>
      <c r="K56" s="137">
        <v>-2</v>
      </c>
      <c r="L56" s="138">
        <v>8.3333333333333329E-2</v>
      </c>
      <c r="M56" s="119"/>
      <c r="N56" s="119"/>
      <c r="O56" s="141">
        <v>55</v>
      </c>
      <c r="P56" s="142">
        <f t="shared" si="4"/>
        <v>41821.541666666664</v>
      </c>
      <c r="Q56" s="151">
        <v>41821.541666666664</v>
      </c>
      <c r="R56" s="144">
        <f t="shared" si="5"/>
        <v>41821.708333333328</v>
      </c>
      <c r="T56" s="145"/>
      <c r="U56" s="145"/>
      <c r="V56" s="145"/>
      <c r="W56" s="145"/>
      <c r="X56" s="145"/>
      <c r="Y56" s="145"/>
      <c r="Z56" s="145"/>
      <c r="AA56" s="145"/>
      <c r="AB56" s="145"/>
      <c r="AC56" s="145"/>
    </row>
    <row r="57" spans="2:29" s="104" customFormat="1" ht="15" customHeight="1">
      <c r="B57" s="136"/>
      <c r="C57" s="104" t="str">
        <f>Tournament!AB67</f>
        <v>50. mérkőzés győztese</v>
      </c>
      <c r="E57" s="104" t="str">
        <f>IF(ISERROR("'Countries and Timezone'!"&amp;VLOOKUP(C57,'Countries and Timezone'!$C$7:$D$38,2,FALSE)),"'Countries and Timezone'!b39","'Countries and Timezone'!"&amp;VLOOKUP(C57,'Countries and Timezone'!$C$7:$D$38,2,FALSE))</f>
        <v>'Countries and Timezone'!b39</v>
      </c>
      <c r="H57" s="104">
        <f t="shared" si="3"/>
        <v>4</v>
      </c>
      <c r="I57" s="119">
        <v>56</v>
      </c>
      <c r="J57" s="137" t="s">
        <v>272</v>
      </c>
      <c r="K57" s="137">
        <v>-1</v>
      </c>
      <c r="L57" s="138">
        <v>4.1666666666666664E-2</v>
      </c>
      <c r="M57" s="119"/>
      <c r="N57" s="119"/>
      <c r="O57" s="141">
        <v>56</v>
      </c>
      <c r="P57" s="142">
        <f t="shared" si="4"/>
        <v>41821.708333333336</v>
      </c>
      <c r="Q57" s="151">
        <v>41821.708333333336</v>
      </c>
      <c r="R57" s="144">
        <f t="shared" si="5"/>
        <v>41821.875</v>
      </c>
      <c r="T57" s="145"/>
      <c r="U57" s="145"/>
      <c r="V57" s="145"/>
      <c r="W57" s="145"/>
      <c r="X57" s="145"/>
      <c r="Y57" s="145"/>
      <c r="Z57" s="145"/>
      <c r="AA57" s="145"/>
      <c r="AB57" s="145"/>
      <c r="AC57" s="145"/>
    </row>
    <row r="58" spans="2:29" s="104" customFormat="1" ht="15" customHeight="1">
      <c r="B58" s="136"/>
      <c r="C58" s="104" t="str">
        <f>Tournament!V72</f>
        <v>53 mérkőzés győztese</v>
      </c>
      <c r="E58" s="104" t="str">
        <f>IF(ISERROR("'Countries and Timezone'!"&amp;VLOOKUP(C58,'Countries and Timezone'!$C$7:$D$38,2,FALSE)),"'Countries and Timezone'!b39","'Countries and Timezone'!"&amp;VLOOKUP(C58,'Countries and Timezone'!$C$7:$D$38,2,FALSE))</f>
        <v>'Countries and Timezone'!b39</v>
      </c>
      <c r="H58" s="104">
        <f t="shared" si="3"/>
        <v>13</v>
      </c>
      <c r="I58" s="119">
        <v>57</v>
      </c>
      <c r="J58" s="137" t="s">
        <v>273</v>
      </c>
      <c r="K58" s="137">
        <v>8</v>
      </c>
      <c r="L58" s="138">
        <v>0.33333333333333331</v>
      </c>
      <c r="M58" s="119"/>
      <c r="N58" s="119"/>
      <c r="O58" s="141">
        <v>57</v>
      </c>
      <c r="P58" s="142">
        <f t="shared" si="4"/>
        <v>41824.708333333336</v>
      </c>
      <c r="Q58" s="151">
        <v>41824.708333333336</v>
      </c>
      <c r="R58" s="144">
        <f t="shared" si="5"/>
        <v>41824.875</v>
      </c>
      <c r="T58" s="145"/>
      <c r="U58" s="145"/>
      <c r="V58" s="145"/>
      <c r="W58" s="145"/>
      <c r="X58" s="145"/>
      <c r="Y58" s="145"/>
      <c r="Z58" s="145"/>
      <c r="AA58" s="145"/>
      <c r="AB58" s="145"/>
      <c r="AC58" s="145"/>
    </row>
    <row r="59" spans="2:29" s="104" customFormat="1" ht="15" customHeight="1">
      <c r="B59" s="136"/>
      <c r="C59" s="104" t="str">
        <f>Tournament!AB72</f>
        <v>54 mérkőzés győztese</v>
      </c>
      <c r="E59" s="104" t="str">
        <f>IF(ISERROR("'Countries and Timezone'!"&amp;VLOOKUP(C59,'Countries and Timezone'!$C$7:$D$38,2,FALSE)),"'Countries and Timezone'!b39","'Countries and Timezone'!"&amp;VLOOKUP(C59,'Countries and Timezone'!$C$7:$D$38,2,FALSE))</f>
        <v>'Countries and Timezone'!b39</v>
      </c>
      <c r="H59" s="104">
        <f t="shared" si="3"/>
        <v>11</v>
      </c>
      <c r="I59" s="119">
        <v>58</v>
      </c>
      <c r="J59" s="137" t="s">
        <v>274</v>
      </c>
      <c r="K59" s="137">
        <v>6</v>
      </c>
      <c r="L59" s="138">
        <v>0.25</v>
      </c>
      <c r="M59" s="119"/>
      <c r="N59" s="119"/>
      <c r="O59" s="141">
        <v>58</v>
      </c>
      <c r="P59" s="142">
        <f t="shared" si="4"/>
        <v>41824.541666666664</v>
      </c>
      <c r="Q59" s="151">
        <v>41824.541666666664</v>
      </c>
      <c r="R59" s="144">
        <f t="shared" si="5"/>
        <v>41824.708333333328</v>
      </c>
      <c r="T59" s="145"/>
      <c r="U59" s="145"/>
      <c r="V59" s="145"/>
      <c r="W59" s="145"/>
      <c r="X59" s="145"/>
      <c r="Y59" s="145"/>
      <c r="Z59" s="145"/>
      <c r="AA59" s="145"/>
      <c r="AB59" s="145"/>
      <c r="AC59" s="145"/>
    </row>
    <row r="60" spans="2:29" s="104" customFormat="1" ht="15" customHeight="1">
      <c r="B60" s="136"/>
      <c r="C60" s="104" t="str">
        <f>Tournament!V77</f>
        <v>51. mérkőzés győztese</v>
      </c>
      <c r="E60" s="104" t="str">
        <f>IF(ISERROR("'Countries and Timezone'!"&amp;VLOOKUP(C60,'Countries and Timezone'!$C$7:$D$38,2,FALSE)),"'Countries and Timezone'!b39","'Countries and Timezone'!"&amp;VLOOKUP(C60,'Countries and Timezone'!$C$7:$D$38,2,FALSE))</f>
        <v>'Countries and Timezone'!b39</v>
      </c>
      <c r="H60" s="104">
        <f t="shared" si="3"/>
        <v>15</v>
      </c>
      <c r="I60" s="119">
        <v>59</v>
      </c>
      <c r="J60" s="137" t="s">
        <v>275</v>
      </c>
      <c r="K60" s="137">
        <v>10</v>
      </c>
      <c r="L60" s="138">
        <v>0.41666666666666669</v>
      </c>
      <c r="M60" s="119"/>
      <c r="N60" s="119"/>
      <c r="O60" s="141">
        <v>59</v>
      </c>
      <c r="P60" s="142">
        <f t="shared" si="4"/>
        <v>41825.708333333336</v>
      </c>
      <c r="Q60" s="151">
        <v>41825.708333333336</v>
      </c>
      <c r="R60" s="144">
        <f t="shared" si="5"/>
        <v>41825.875</v>
      </c>
      <c r="T60" s="145"/>
      <c r="U60" s="145"/>
      <c r="V60" s="145"/>
      <c r="W60" s="145"/>
      <c r="X60" s="145"/>
      <c r="Y60" s="145"/>
      <c r="Z60" s="145"/>
      <c r="AA60" s="145"/>
      <c r="AB60" s="145"/>
      <c r="AC60" s="145"/>
    </row>
    <row r="61" spans="2:29" s="104" customFormat="1" ht="15" customHeight="1">
      <c r="B61" s="136"/>
      <c r="C61" s="104" t="str">
        <f>Tournament!AB77</f>
        <v>52. mérkőzés győztese</v>
      </c>
      <c r="E61" s="104" t="str">
        <f>IF(ISERROR("'Countries and Timezone'!"&amp;VLOOKUP(C61,'Countries and Timezone'!$C$7:$D$38,2,FALSE)),"'Countries and Timezone'!b39","'Countries and Timezone'!"&amp;VLOOKUP(C61,'Countries and Timezone'!$C$7:$D$38,2,FALSE))</f>
        <v>'Countries and Timezone'!b39</v>
      </c>
      <c r="H61" s="104">
        <f t="shared" si="3"/>
        <v>11</v>
      </c>
      <c r="I61" s="119">
        <v>60</v>
      </c>
      <c r="J61" s="137" t="s">
        <v>276</v>
      </c>
      <c r="K61" s="137">
        <v>6</v>
      </c>
      <c r="L61" s="138">
        <v>0.25</v>
      </c>
      <c r="M61" s="119"/>
      <c r="N61" s="119"/>
      <c r="O61" s="141">
        <v>60</v>
      </c>
      <c r="P61" s="142">
        <f t="shared" si="4"/>
        <v>41825.541666666664</v>
      </c>
      <c r="Q61" s="151">
        <v>41825.541666666664</v>
      </c>
      <c r="R61" s="144">
        <f t="shared" si="5"/>
        <v>41825.708333333328</v>
      </c>
      <c r="T61" s="145"/>
      <c r="U61" s="145"/>
      <c r="V61" s="145"/>
      <c r="W61" s="145"/>
      <c r="X61" s="145"/>
      <c r="Y61" s="145"/>
      <c r="Z61" s="145"/>
      <c r="AA61" s="145"/>
      <c r="AB61" s="145"/>
      <c r="AC61" s="145"/>
    </row>
    <row r="62" spans="2:29" s="104" customFormat="1" ht="15" customHeight="1">
      <c r="B62" s="136"/>
      <c r="C62" s="104" t="str">
        <f>Tournament!V82</f>
        <v>55 mérkőzés győztese</v>
      </c>
      <c r="E62" s="104" t="str">
        <f>IF(ISERROR("'Countries and Timezone'!"&amp;VLOOKUP(C62,'Countries and Timezone'!$C$7:$D$38,2,FALSE)),"'Countries and Timezone'!b39","'Countries and Timezone'!"&amp;VLOOKUP(C62,'Countries and Timezone'!$C$7:$D$38,2,FALSE))</f>
        <v>'Countries and Timezone'!b39</v>
      </c>
      <c r="H62" s="104">
        <f t="shared" si="3"/>
        <v>10</v>
      </c>
      <c r="I62" s="119">
        <v>61</v>
      </c>
      <c r="J62" s="137" t="s">
        <v>277</v>
      </c>
      <c r="K62" s="137">
        <v>5</v>
      </c>
      <c r="L62" s="138">
        <v>0.20833333333333334</v>
      </c>
      <c r="M62" s="119"/>
      <c r="N62" s="119"/>
      <c r="O62" s="141">
        <v>61</v>
      </c>
      <c r="P62" s="142">
        <f t="shared" si="4"/>
        <v>41828.708333333336</v>
      </c>
      <c r="Q62" s="151">
        <v>41828.708333333336</v>
      </c>
      <c r="R62" s="144">
        <f t="shared" si="5"/>
        <v>41828.875</v>
      </c>
      <c r="T62" s="145"/>
      <c r="U62" s="145"/>
      <c r="V62" s="145"/>
      <c r="W62" s="145"/>
      <c r="X62" s="145"/>
      <c r="Y62" s="145"/>
      <c r="Z62" s="145"/>
      <c r="AA62" s="145"/>
      <c r="AB62" s="145"/>
      <c r="AC62" s="145"/>
    </row>
    <row r="63" spans="2:29" s="104" customFormat="1" ht="15" customHeight="1">
      <c r="B63" s="136"/>
      <c r="C63" s="104" t="str">
        <f>Tournament!AB82</f>
        <v>56 mérkőzés győztese</v>
      </c>
      <c r="E63" s="104" t="str">
        <f>IF(ISERROR("'Countries and Timezone'!"&amp;VLOOKUP(C63,'Countries and Timezone'!$C$7:$D$38,2,FALSE)),"'Countries and Timezone'!b39","'Countries and Timezone'!"&amp;VLOOKUP(C63,'Countries and Timezone'!$C$7:$D$38,2,FALSE))</f>
        <v>'Countries and Timezone'!b39</v>
      </c>
      <c r="H63" s="104">
        <f t="shared" si="3"/>
        <v>12.5</v>
      </c>
      <c r="I63" s="119">
        <v>62</v>
      </c>
      <c r="J63" s="137" t="s">
        <v>278</v>
      </c>
      <c r="K63" s="137">
        <v>7.5</v>
      </c>
      <c r="L63" s="138">
        <v>0.3125</v>
      </c>
      <c r="M63" s="119"/>
      <c r="N63" s="119"/>
      <c r="O63" s="141">
        <v>62</v>
      </c>
      <c r="P63" s="142">
        <f t="shared" si="4"/>
        <v>41829.708333333336</v>
      </c>
      <c r="Q63" s="151">
        <v>41829.708333333336</v>
      </c>
      <c r="R63" s="144">
        <f t="shared" si="5"/>
        <v>41829.875</v>
      </c>
      <c r="T63" s="145"/>
      <c r="U63" s="145"/>
      <c r="V63" s="145"/>
      <c r="W63" s="145"/>
      <c r="X63" s="145"/>
      <c r="Y63" s="145"/>
      <c r="Z63" s="145"/>
      <c r="AA63" s="145"/>
      <c r="AB63" s="145"/>
      <c r="AC63" s="145"/>
    </row>
    <row r="64" spans="2:29" s="104" customFormat="1" ht="15" customHeight="1">
      <c r="B64" s="136"/>
      <c r="C64" s="104" t="str">
        <f>Tournament!V90</f>
        <v>57 mérkőzés győztese</v>
      </c>
      <c r="E64" s="104" t="str">
        <f>IF(ISERROR("'Countries and Timezone'!"&amp;VLOOKUP(C64,'Countries and Timezone'!$C$7:$D$38,2,FALSE)),"'Countries and Timezone'!b39","'Countries and Timezone'!"&amp;VLOOKUP(C64,'Countries and Timezone'!$C$7:$D$38,2,FALSE))</f>
        <v>'Countries and Timezone'!b39</v>
      </c>
      <c r="H64" s="104">
        <f t="shared" si="3"/>
        <v>21</v>
      </c>
      <c r="I64" s="119">
        <v>63</v>
      </c>
      <c r="J64" s="137" t="s">
        <v>279</v>
      </c>
      <c r="K64" s="137">
        <v>16</v>
      </c>
      <c r="L64" s="138">
        <v>0.66666666666666663</v>
      </c>
      <c r="M64" s="119"/>
      <c r="N64" s="119"/>
      <c r="O64" s="141">
        <v>63</v>
      </c>
      <c r="P64" s="142">
        <f t="shared" si="4"/>
        <v>41832.708333333336</v>
      </c>
      <c r="Q64" s="151">
        <v>41832.708333333336</v>
      </c>
      <c r="R64" s="144">
        <f t="shared" si="5"/>
        <v>41832.875</v>
      </c>
      <c r="T64" s="145"/>
      <c r="U64" s="145"/>
      <c r="V64" s="145"/>
      <c r="W64" s="145"/>
      <c r="X64" s="145"/>
      <c r="Y64" s="145"/>
      <c r="Z64" s="145"/>
      <c r="AA64" s="145"/>
      <c r="AB64" s="145"/>
      <c r="AC64" s="145"/>
    </row>
    <row r="65" spans="2:29" s="104" customFormat="1" ht="15" customHeight="1">
      <c r="B65" s="136"/>
      <c r="C65" s="104" t="str">
        <f>Tournament!AB90</f>
        <v>58 mérkőzés győztese</v>
      </c>
      <c r="E65" s="104" t="str">
        <f>IF(ISERROR("'Countries and Timezone'!"&amp;VLOOKUP(C65,'Countries and Timezone'!$C$7:$D$38,2,FALSE)),"'Countries and Timezone'!b39","'Countries and Timezone'!"&amp;VLOOKUP(C65,'Countries and Timezone'!$C$7:$D$38,2,FALSE))</f>
        <v>'Countries and Timezone'!b39</v>
      </c>
      <c r="H65" s="104">
        <f t="shared" si="3"/>
        <v>13</v>
      </c>
      <c r="I65" s="119">
        <v>64</v>
      </c>
      <c r="J65" s="137" t="s">
        <v>280</v>
      </c>
      <c r="K65" s="137">
        <v>8</v>
      </c>
      <c r="L65" s="138">
        <v>0.33333333333333331</v>
      </c>
      <c r="M65" s="119"/>
      <c r="N65" s="119"/>
      <c r="O65" s="141">
        <v>64</v>
      </c>
      <c r="P65" s="142">
        <f t="shared" si="4"/>
        <v>41833.666666666664</v>
      </c>
      <c r="Q65" s="151">
        <v>41833.666666666664</v>
      </c>
      <c r="R65" s="144">
        <f t="shared" si="5"/>
        <v>41833.833333333328</v>
      </c>
      <c r="T65" s="145"/>
      <c r="U65" s="145"/>
      <c r="V65" s="145"/>
      <c r="W65" s="145"/>
      <c r="X65" s="145"/>
      <c r="Y65" s="145"/>
      <c r="Z65" s="145"/>
      <c r="AA65" s="145"/>
      <c r="AB65" s="145"/>
      <c r="AC65" s="145"/>
    </row>
    <row r="66" spans="2:29" s="104" customFormat="1" ht="15" customHeight="1">
      <c r="B66" s="136"/>
      <c r="C66" s="104" t="str">
        <f>Tournament!V95</f>
        <v>59 mérkőzés győztese</v>
      </c>
      <c r="E66" s="104" t="str">
        <f>IF(ISERROR("'Countries and Timezone'!"&amp;VLOOKUP(C66,'Countries and Timezone'!$C$7:$D$38,2,FALSE)),"'Countries and Timezone'!b39","'Countries and Timezone'!"&amp;VLOOKUP(C66,'Countries and Timezone'!$C$7:$D$38,2,FALSE))</f>
        <v>'Countries and Timezone'!b39</v>
      </c>
      <c r="H66" s="104">
        <f t="shared" si="3"/>
        <v>11</v>
      </c>
      <c r="I66" s="119">
        <v>65</v>
      </c>
      <c r="J66" s="137" t="s">
        <v>281</v>
      </c>
      <c r="K66" s="137">
        <v>6</v>
      </c>
      <c r="L66" s="138">
        <v>0.25</v>
      </c>
      <c r="M66" s="119"/>
      <c r="N66" s="119"/>
      <c r="O66" s="119"/>
      <c r="P66" s="119"/>
      <c r="Q66" s="152"/>
      <c r="R66" s="119"/>
      <c r="T66" s="145"/>
      <c r="U66" s="145"/>
      <c r="V66" s="145"/>
      <c r="W66" s="145"/>
      <c r="X66" s="145"/>
      <c r="Y66" s="145"/>
      <c r="Z66" s="145"/>
      <c r="AA66" s="145"/>
      <c r="AB66" s="145"/>
      <c r="AC66" s="145"/>
    </row>
    <row r="67" spans="2:29" s="104" customFormat="1" ht="15" customHeight="1">
      <c r="B67" s="136"/>
      <c r="C67" s="104" t="str">
        <f>Tournament!AB95</f>
        <v>60 mérkőzés győztese</v>
      </c>
      <c r="E67" s="104" t="str">
        <f>IF(ISERROR("'Countries and Timezone'!"&amp;VLOOKUP(C67,'Countries and Timezone'!$C$7:$D$38,2,FALSE)),"'Countries and Timezone'!b39","'Countries and Timezone'!"&amp;VLOOKUP(C67,'Countries and Timezone'!$C$7:$D$38,2,FALSE))</f>
        <v>'Countries and Timezone'!b39</v>
      </c>
      <c r="H67" s="104">
        <f t="shared" si="3"/>
        <v>3</v>
      </c>
      <c r="I67" s="119">
        <v>66</v>
      </c>
      <c r="J67" s="137" t="s">
        <v>282</v>
      </c>
      <c r="K67" s="137">
        <v>-2</v>
      </c>
      <c r="L67" s="138">
        <v>8.3333333333333329E-2</v>
      </c>
      <c r="M67" s="119"/>
      <c r="N67" s="119"/>
      <c r="O67" s="119"/>
      <c r="P67" s="119"/>
      <c r="Q67" s="152"/>
      <c r="R67" s="119"/>
      <c r="T67" s="145"/>
      <c r="U67" s="145"/>
      <c r="V67" s="145"/>
      <c r="W67" s="145"/>
      <c r="X67" s="145"/>
      <c r="Y67" s="145"/>
      <c r="Z67" s="145"/>
      <c r="AA67" s="145"/>
      <c r="AB67" s="145"/>
      <c r="AC67" s="145"/>
    </row>
    <row r="68" spans="2:29" s="104" customFormat="1" ht="15" customHeight="1">
      <c r="B68" s="136"/>
      <c r="C68" s="104" t="str">
        <f>Tournament!V103</f>
        <v>61. mérkőzés vesztese</v>
      </c>
      <c r="E68" s="104" t="str">
        <f>IF(ISERROR("'Countries and Timezone'!"&amp;VLOOKUP(C68,'Countries and Timezone'!$C$7:$D$38,2,FALSE)),"'Countries and Timezone'!b39","'Countries and Timezone'!"&amp;VLOOKUP(C68,'Countries and Timezone'!$C$7:$D$38,2,FALSE))</f>
        <v>'Countries and Timezone'!b39</v>
      </c>
      <c r="H68" s="104">
        <f t="shared" si="3"/>
        <v>22</v>
      </c>
      <c r="I68" s="119">
        <v>67</v>
      </c>
      <c r="J68" s="137" t="s">
        <v>283</v>
      </c>
      <c r="K68" s="150">
        <v>17</v>
      </c>
      <c r="L68" s="138">
        <v>0.70833333333333337</v>
      </c>
      <c r="M68" s="119"/>
      <c r="N68" s="119"/>
      <c r="O68" s="119"/>
      <c r="P68" s="119"/>
      <c r="Q68" s="152"/>
      <c r="R68" s="119"/>
      <c r="T68" s="145"/>
      <c r="U68" s="145"/>
      <c r="V68" s="145"/>
      <c r="W68" s="145"/>
      <c r="X68" s="145"/>
      <c r="Y68" s="145"/>
      <c r="Z68" s="145"/>
      <c r="AA68" s="145"/>
      <c r="AB68" s="145"/>
      <c r="AC68" s="145"/>
    </row>
    <row r="69" spans="2:29" s="104" customFormat="1" ht="15" customHeight="1">
      <c r="B69" s="136"/>
      <c r="C69" s="104" t="str">
        <f>Tournament!AB103</f>
        <v>62. mérkőzés vesztese</v>
      </c>
      <c r="E69" s="104" t="str">
        <f>IF(ISERROR("'Countries and Timezone'!"&amp;VLOOKUP(C69,'Countries and Timezone'!$C$7:$D$38,2,FALSE)),"'Countries and Timezone'!b39","'Countries and Timezone'!"&amp;VLOOKUP(C69,'Countries and Timezone'!$C$7:$D$38,2,FALSE))</f>
        <v>'Countries and Timezone'!b39</v>
      </c>
      <c r="H69" s="104">
        <f t="shared" si="3"/>
        <v>13.5</v>
      </c>
      <c r="I69" s="119">
        <v>68</v>
      </c>
      <c r="J69" s="137" t="s">
        <v>284</v>
      </c>
      <c r="K69" s="137">
        <v>8.5</v>
      </c>
      <c r="L69" s="138">
        <v>0.36805555555555558</v>
      </c>
      <c r="M69" s="119"/>
      <c r="N69" s="119"/>
      <c r="O69" s="119"/>
      <c r="P69" s="119"/>
      <c r="Q69" s="152"/>
      <c r="R69" s="119"/>
      <c r="T69" s="145"/>
      <c r="U69" s="145"/>
      <c r="V69" s="145"/>
      <c r="W69" s="145"/>
      <c r="X69" s="145"/>
      <c r="Y69" s="145"/>
      <c r="Z69" s="145"/>
      <c r="AA69" s="145"/>
      <c r="AB69" s="145"/>
      <c r="AC69" s="145"/>
    </row>
    <row r="70" spans="2:29" s="104" customFormat="1" ht="15" customHeight="1">
      <c r="B70" s="136"/>
      <c r="C70" s="104" t="str">
        <f>Tournament!V111</f>
        <v>61 mérkőzés győztese</v>
      </c>
      <c r="E70" s="104" t="str">
        <f>IF(ISERROR("'Countries and Timezone'!"&amp;VLOOKUP(C70,'Countries and Timezone'!$C$7:$D$38,2,FALSE)),"'Countries and Timezone'!b39","'Countries and Timezone'!"&amp;VLOOKUP(C70,'Countries and Timezone'!$C$7:$D$38,2,FALSE))</f>
        <v>'Countries and Timezone'!b39</v>
      </c>
      <c r="H70" s="104">
        <f t="shared" si="3"/>
        <v>16</v>
      </c>
      <c r="I70" s="119">
        <v>69</v>
      </c>
      <c r="J70" s="137" t="s">
        <v>285</v>
      </c>
      <c r="K70" s="137">
        <v>11</v>
      </c>
      <c r="L70" s="138">
        <v>0.45833333333333331</v>
      </c>
      <c r="M70" s="119"/>
      <c r="N70" s="119"/>
      <c r="O70" s="119"/>
      <c r="P70" s="119"/>
      <c r="Q70" s="152"/>
      <c r="R70" s="119"/>
      <c r="T70" s="145"/>
      <c r="U70" s="145"/>
      <c r="V70" s="145"/>
      <c r="W70" s="145"/>
      <c r="X70" s="145"/>
      <c r="Y70" s="145"/>
      <c r="Z70" s="145"/>
      <c r="AA70" s="145"/>
      <c r="AB70" s="145"/>
      <c r="AC70" s="145"/>
    </row>
    <row r="71" spans="2:29" s="104" customFormat="1" ht="15" customHeight="1">
      <c r="B71" s="136"/>
      <c r="C71" s="104" t="str">
        <f>Tournament!AB111</f>
        <v>62 mérkőzés győztese</v>
      </c>
      <c r="E71" s="104" t="str">
        <f>IF(ISERROR("'Countries and Timezone'!"&amp;VLOOKUP(C71,'Countries and Timezone'!$C$7:$D$38,2,FALSE)),"'Countries and Timezone'!b39","'Countries and Timezone'!"&amp;VLOOKUP(C71,'Countries and Timezone'!$C$7:$D$38,2,FALSE))</f>
        <v>'Countries and Timezone'!b39</v>
      </c>
      <c r="H71" s="104">
        <f t="shared" si="3"/>
        <v>11</v>
      </c>
      <c r="I71" s="119">
        <v>70</v>
      </c>
      <c r="J71" s="137" t="s">
        <v>286</v>
      </c>
      <c r="K71" s="137">
        <v>6</v>
      </c>
      <c r="L71" s="138">
        <v>0.25</v>
      </c>
      <c r="M71" s="119"/>
      <c r="N71" s="119"/>
      <c r="O71" s="119"/>
      <c r="P71" s="119"/>
      <c r="Q71" s="152"/>
      <c r="R71" s="119"/>
      <c r="T71" s="145"/>
      <c r="U71" s="145"/>
      <c r="V71" s="145"/>
      <c r="W71" s="145"/>
      <c r="X71" s="145"/>
      <c r="Y71" s="145"/>
      <c r="Z71" s="145"/>
      <c r="AA71" s="145"/>
      <c r="AB71" s="145"/>
      <c r="AC71" s="145"/>
    </row>
    <row r="72" spans="2:29" s="104" customFormat="1" ht="15" customHeight="1">
      <c r="B72" s="136"/>
      <c r="C72" s="104" t="str">
        <f>Tournament!N118</f>
        <v>64 MÉRKŐZÉS GYŐZTESE</v>
      </c>
      <c r="E72" s="104" t="str">
        <f>IF(ISERROR("'Countries and Timezone'!"&amp;VLOOKUP(C72,'Countries and Timezone'!$C$7:$D$38,2,FALSE)),"'Countries and Timezone'!b39","'Countries and Timezone'!"&amp;VLOOKUP(C72,'Countries and Timezone'!$C$7:$D$38,2,FALSE))</f>
        <v>'Countries and Timezone'!b39</v>
      </c>
      <c r="H72" s="104">
        <f t="shared" si="3"/>
        <v>11</v>
      </c>
      <c r="I72" s="119">
        <v>71</v>
      </c>
      <c r="J72" s="137" t="s">
        <v>287</v>
      </c>
      <c r="K72" s="137">
        <v>6</v>
      </c>
      <c r="L72" s="138">
        <v>0.25</v>
      </c>
      <c r="M72" s="119"/>
      <c r="N72" s="119"/>
      <c r="O72" s="119"/>
      <c r="P72" s="119"/>
      <c r="Q72" s="152"/>
      <c r="R72" s="119"/>
      <c r="T72" s="145"/>
      <c r="U72" s="145"/>
      <c r="V72" s="145"/>
      <c r="W72" s="145"/>
      <c r="X72" s="145"/>
      <c r="Y72" s="145"/>
      <c r="Z72" s="145"/>
      <c r="AA72" s="145"/>
      <c r="AB72" s="145"/>
      <c r="AC72" s="145"/>
    </row>
    <row r="73" spans="2:29" s="104" customFormat="1" ht="15" customHeight="1">
      <c r="B73" s="136"/>
      <c r="H73" s="104">
        <f t="shared" si="3"/>
        <v>4</v>
      </c>
      <c r="I73" s="119">
        <v>72</v>
      </c>
      <c r="J73" s="137" t="s">
        <v>288</v>
      </c>
      <c r="K73" s="137">
        <v>-1</v>
      </c>
      <c r="L73" s="138">
        <v>4.1666666666666664E-2</v>
      </c>
      <c r="M73" s="119"/>
      <c r="N73" s="119"/>
      <c r="O73" s="119"/>
      <c r="P73" s="119"/>
      <c r="Q73" s="152"/>
      <c r="R73" s="119"/>
      <c r="T73" s="145"/>
      <c r="U73" s="145"/>
      <c r="V73" s="145"/>
      <c r="W73" s="145"/>
      <c r="X73" s="145"/>
      <c r="Y73" s="145"/>
      <c r="Z73" s="145"/>
      <c r="AA73" s="145"/>
      <c r="AB73" s="145"/>
      <c r="AC73" s="145"/>
    </row>
    <row r="74" spans="2:29" s="104" customFormat="1" ht="15" customHeight="1">
      <c r="B74" s="136"/>
      <c r="H74" s="104">
        <f t="shared" si="3"/>
        <v>9</v>
      </c>
      <c r="I74" s="119">
        <v>73</v>
      </c>
      <c r="J74" s="137" t="s">
        <v>289</v>
      </c>
      <c r="K74" s="137">
        <v>4</v>
      </c>
      <c r="L74" s="138">
        <v>0.16666666666666666</v>
      </c>
      <c r="M74" s="119"/>
      <c r="N74" s="119"/>
      <c r="O74" s="119"/>
      <c r="P74" s="119"/>
      <c r="Q74" s="152"/>
      <c r="R74" s="119"/>
      <c r="T74" s="145"/>
      <c r="U74" s="145"/>
      <c r="V74" s="145"/>
      <c r="W74" s="145"/>
      <c r="X74" s="145"/>
      <c r="Y74" s="145"/>
      <c r="Z74" s="145"/>
      <c r="AA74" s="145"/>
      <c r="AB74" s="145"/>
      <c r="AC74" s="145"/>
    </row>
    <row r="75" spans="2:29" s="104" customFormat="1" ht="15" customHeight="1">
      <c r="B75" s="136"/>
      <c r="H75" s="104">
        <f t="shared" si="3"/>
        <v>13</v>
      </c>
      <c r="I75" s="119">
        <v>74</v>
      </c>
      <c r="J75" s="137" t="s">
        <v>290</v>
      </c>
      <c r="K75" s="137">
        <v>8</v>
      </c>
      <c r="L75" s="138">
        <v>0.33333333333333331</v>
      </c>
      <c r="M75" s="119"/>
      <c r="N75" s="119"/>
      <c r="O75" s="119"/>
      <c r="P75" s="119"/>
      <c r="Q75" s="152"/>
      <c r="R75" s="119"/>
      <c r="T75" s="145"/>
      <c r="U75" s="145"/>
      <c r="V75" s="145"/>
      <c r="W75" s="145"/>
      <c r="X75" s="145"/>
      <c r="Y75" s="145"/>
      <c r="Z75" s="145"/>
      <c r="AA75" s="145"/>
      <c r="AB75" s="145"/>
      <c r="AC75" s="145"/>
    </row>
    <row r="76" spans="2:29" s="104" customFormat="1" ht="15" customHeight="1">
      <c r="B76" s="136"/>
      <c r="H76" s="104">
        <f t="shared" si="3"/>
        <v>3</v>
      </c>
      <c r="I76" s="119">
        <v>75</v>
      </c>
      <c r="J76" s="137" t="s">
        <v>291</v>
      </c>
      <c r="K76" s="137">
        <v>-2</v>
      </c>
      <c r="L76" s="138">
        <v>8.3333333333333329E-2</v>
      </c>
      <c r="M76" s="119"/>
      <c r="N76" s="119"/>
      <c r="O76" s="119"/>
      <c r="P76" s="119"/>
      <c r="Q76" s="152"/>
      <c r="R76" s="119"/>
      <c r="T76" s="145"/>
      <c r="U76" s="145"/>
      <c r="V76" s="145"/>
      <c r="W76" s="145"/>
      <c r="X76" s="145"/>
      <c r="Y76" s="145"/>
      <c r="Z76" s="145"/>
      <c r="AA76" s="145"/>
      <c r="AB76" s="145"/>
      <c r="AC76" s="145"/>
    </row>
    <row r="77" spans="2:29" s="104" customFormat="1" ht="15" customHeight="1">
      <c r="B77" s="136"/>
      <c r="H77" s="104">
        <f t="shared" si="3"/>
        <v>9</v>
      </c>
      <c r="I77" s="119">
        <v>76</v>
      </c>
      <c r="J77" s="137" t="s">
        <v>292</v>
      </c>
      <c r="K77" s="137">
        <v>4</v>
      </c>
      <c r="L77" s="138">
        <v>0.16666666666666666</v>
      </c>
      <c r="M77" s="119"/>
      <c r="N77" s="119"/>
      <c r="O77" s="119"/>
      <c r="P77" s="119"/>
      <c r="Q77" s="152"/>
      <c r="R77" s="119"/>
      <c r="T77" s="145"/>
      <c r="U77" s="145"/>
      <c r="V77" s="145"/>
      <c r="W77" s="145"/>
      <c r="X77" s="145"/>
      <c r="Y77" s="145"/>
      <c r="Z77" s="145"/>
      <c r="AA77" s="145"/>
      <c r="AB77" s="145"/>
      <c r="AC77" s="145"/>
    </row>
    <row r="78" spans="2:29" s="104" customFormat="1" ht="15" customHeight="1">
      <c r="B78" s="136"/>
      <c r="H78" s="104">
        <f t="shared" ref="H78:H140" si="6">IF(K78&gt;0,ABS($G$2)+K78,K78-$G$2)</f>
        <v>9</v>
      </c>
      <c r="I78" s="119">
        <v>77</v>
      </c>
      <c r="J78" s="137" t="s">
        <v>293</v>
      </c>
      <c r="K78" s="137">
        <v>4</v>
      </c>
      <c r="L78" s="138">
        <v>0.16666666666666666</v>
      </c>
      <c r="M78" s="119"/>
      <c r="N78" s="119"/>
      <c r="O78" s="119"/>
      <c r="P78" s="119"/>
      <c r="Q78" s="152"/>
      <c r="R78" s="119"/>
      <c r="T78" s="145"/>
      <c r="U78" s="145"/>
      <c r="V78" s="145"/>
      <c r="W78" s="145"/>
      <c r="X78" s="145"/>
      <c r="Y78" s="145"/>
      <c r="Z78" s="145"/>
      <c r="AA78" s="145"/>
      <c r="AB78" s="145"/>
      <c r="AC78" s="145"/>
    </row>
    <row r="79" spans="2:29" s="104" customFormat="1" ht="15" customHeight="1">
      <c r="B79" s="136"/>
      <c r="H79" s="104">
        <f t="shared" si="6"/>
        <v>1</v>
      </c>
      <c r="I79" s="119">
        <v>78</v>
      </c>
      <c r="J79" s="137" t="s">
        <v>294</v>
      </c>
      <c r="K79" s="137">
        <v>-4</v>
      </c>
      <c r="L79" s="138">
        <v>0.16666666666666666</v>
      </c>
      <c r="M79" s="119"/>
      <c r="N79" s="119"/>
      <c r="O79" s="119"/>
      <c r="P79" s="119"/>
      <c r="Q79" s="151"/>
      <c r="R79" s="119"/>
      <c r="T79" s="145"/>
      <c r="U79" s="145"/>
      <c r="V79" s="145"/>
      <c r="W79" s="145"/>
      <c r="X79" s="145"/>
      <c r="Y79" s="145"/>
      <c r="Z79" s="145"/>
      <c r="AA79" s="145"/>
      <c r="AB79" s="145"/>
      <c r="AC79" s="145"/>
    </row>
    <row r="80" spans="2:29" s="104" customFormat="1" ht="15" customHeight="1">
      <c r="B80" s="136"/>
      <c r="H80" s="104">
        <f t="shared" si="6"/>
        <v>10</v>
      </c>
      <c r="I80" s="119">
        <v>79</v>
      </c>
      <c r="J80" s="137" t="s">
        <v>295</v>
      </c>
      <c r="K80" s="137">
        <v>5</v>
      </c>
      <c r="L80" s="138">
        <v>0.20833333333333334</v>
      </c>
      <c r="M80" s="119"/>
      <c r="N80" s="119"/>
      <c r="O80" s="119"/>
      <c r="P80" s="119"/>
      <c r="Q80" s="152"/>
      <c r="R80" s="119"/>
      <c r="T80" s="145"/>
      <c r="U80" s="145"/>
      <c r="V80" s="145"/>
      <c r="W80" s="145"/>
      <c r="X80" s="145"/>
      <c r="Y80" s="145"/>
      <c r="Z80" s="145"/>
      <c r="AA80" s="145"/>
      <c r="AB80" s="145"/>
      <c r="AC80" s="145"/>
    </row>
    <row r="81" spans="2:29" s="104" customFormat="1" ht="15" customHeight="1">
      <c r="B81" s="136"/>
      <c r="H81" s="104">
        <f t="shared" si="6"/>
        <v>2</v>
      </c>
      <c r="I81" s="119">
        <v>80</v>
      </c>
      <c r="J81" s="137" t="s">
        <v>296</v>
      </c>
      <c r="K81" s="137">
        <v>-3</v>
      </c>
      <c r="L81" s="138">
        <v>0.125</v>
      </c>
      <c r="M81" s="119"/>
      <c r="N81" s="119"/>
      <c r="O81" s="119"/>
      <c r="P81" s="119"/>
      <c r="Q81" s="152"/>
      <c r="R81" s="119"/>
      <c r="T81" s="145"/>
      <c r="U81" s="145"/>
      <c r="V81" s="145"/>
      <c r="W81" s="145"/>
      <c r="X81" s="145"/>
      <c r="Y81" s="145"/>
      <c r="Z81" s="145"/>
      <c r="AA81" s="145"/>
      <c r="AB81" s="145"/>
      <c r="AC81" s="145"/>
    </row>
    <row r="82" spans="2:29" s="104" customFormat="1" ht="15" customHeight="1">
      <c r="B82" s="136"/>
      <c r="H82" s="104">
        <f t="shared" si="6"/>
        <v>16</v>
      </c>
      <c r="I82" s="119">
        <v>81</v>
      </c>
      <c r="J82" s="137" t="s">
        <v>297</v>
      </c>
      <c r="K82" s="137">
        <v>11</v>
      </c>
      <c r="L82" s="138">
        <v>0.45833333333333331</v>
      </c>
      <c r="M82" s="119"/>
      <c r="N82" s="119"/>
      <c r="O82" s="119"/>
      <c r="P82" s="119"/>
      <c r="Q82" s="152"/>
      <c r="R82" s="119"/>
      <c r="T82" s="145"/>
      <c r="U82" s="145"/>
      <c r="V82" s="145"/>
      <c r="W82" s="145"/>
      <c r="X82" s="145"/>
      <c r="Y82" s="145"/>
      <c r="Z82" s="145"/>
      <c r="AA82" s="145"/>
      <c r="AB82" s="145"/>
      <c r="AC82" s="145"/>
    </row>
    <row r="83" spans="2:29" s="104" customFormat="1" ht="15" customHeight="1">
      <c r="B83" s="136"/>
      <c r="H83" s="104">
        <f t="shared" si="6"/>
        <v>18</v>
      </c>
      <c r="I83" s="119">
        <v>82</v>
      </c>
      <c r="J83" s="137" t="s">
        <v>298</v>
      </c>
      <c r="K83" s="137">
        <v>13</v>
      </c>
      <c r="L83" s="138">
        <v>0.54166666666666663</v>
      </c>
      <c r="M83" s="119"/>
      <c r="N83" s="119"/>
      <c r="O83" s="119"/>
      <c r="P83" s="119"/>
      <c r="Q83" s="152"/>
      <c r="R83" s="119"/>
      <c r="T83" s="145"/>
      <c r="U83" s="145"/>
      <c r="V83" s="145"/>
      <c r="W83" s="145"/>
      <c r="X83" s="145"/>
      <c r="Y83" s="145"/>
      <c r="Z83" s="145"/>
      <c r="AA83" s="145"/>
      <c r="AB83" s="145"/>
      <c r="AC83" s="145"/>
    </row>
    <row r="84" spans="2:29" s="104" customFormat="1" ht="15" customHeight="1">
      <c r="B84" s="136"/>
      <c r="H84" s="104">
        <f t="shared" si="6"/>
        <v>3</v>
      </c>
      <c r="I84" s="119">
        <v>83</v>
      </c>
      <c r="J84" s="137" t="s">
        <v>299</v>
      </c>
      <c r="K84" s="137">
        <v>-2</v>
      </c>
      <c r="L84" s="138">
        <v>8.3333333333333329E-2</v>
      </c>
      <c r="M84" s="119"/>
      <c r="N84" s="119"/>
      <c r="O84" s="119"/>
      <c r="P84" s="119"/>
      <c r="Q84" s="152"/>
      <c r="R84" s="119"/>
      <c r="T84" s="145"/>
      <c r="U84" s="145"/>
      <c r="V84" s="145"/>
      <c r="W84" s="145"/>
      <c r="X84" s="145"/>
      <c r="Y84" s="145"/>
      <c r="Z84" s="145"/>
      <c r="AA84" s="145"/>
      <c r="AB84" s="145"/>
      <c r="AC84" s="145"/>
    </row>
    <row r="85" spans="2:29" s="104" customFormat="1" ht="15" customHeight="1">
      <c r="B85" s="136"/>
      <c r="H85" s="104">
        <f t="shared" si="6"/>
        <v>4</v>
      </c>
      <c r="I85" s="119">
        <v>84</v>
      </c>
      <c r="J85" s="137" t="s">
        <v>300</v>
      </c>
      <c r="K85" s="137">
        <v>-1</v>
      </c>
      <c r="L85" s="138">
        <v>4.1666666666666664E-2</v>
      </c>
      <c r="M85" s="119"/>
      <c r="N85" s="119"/>
      <c r="O85" s="119"/>
      <c r="P85" s="119"/>
      <c r="Q85" s="151"/>
      <c r="R85" s="119"/>
      <c r="T85" s="145"/>
      <c r="U85" s="145"/>
      <c r="V85" s="145"/>
      <c r="W85" s="145"/>
      <c r="X85" s="145"/>
      <c r="Y85" s="145"/>
      <c r="Z85" s="145"/>
      <c r="AA85" s="145"/>
      <c r="AB85" s="145"/>
      <c r="AC85" s="145"/>
    </row>
    <row r="86" spans="2:29" s="104" customFormat="1" ht="15" customHeight="1">
      <c r="B86" s="136"/>
      <c r="H86" s="104">
        <f t="shared" si="6"/>
        <v>3</v>
      </c>
      <c r="I86" s="119">
        <v>85</v>
      </c>
      <c r="J86" s="137" t="s">
        <v>301</v>
      </c>
      <c r="K86" s="137">
        <v>-2</v>
      </c>
      <c r="L86" s="138">
        <v>8.3333333333333329E-2</v>
      </c>
      <c r="M86" s="119"/>
      <c r="N86" s="119"/>
      <c r="O86" s="119"/>
      <c r="P86" s="119"/>
      <c r="Q86" s="152"/>
      <c r="R86" s="119"/>
      <c r="T86" s="145"/>
      <c r="U86" s="145"/>
      <c r="V86" s="145"/>
      <c r="W86" s="145"/>
      <c r="X86" s="145"/>
      <c r="Y86" s="145"/>
      <c r="Z86" s="145"/>
      <c r="AA86" s="145"/>
      <c r="AB86" s="145"/>
      <c r="AC86" s="145"/>
    </row>
    <row r="87" spans="2:29" s="104" customFormat="1" ht="15" customHeight="1">
      <c r="B87" s="136"/>
      <c r="H87" s="104">
        <f t="shared" si="6"/>
        <v>11</v>
      </c>
      <c r="I87" s="119">
        <v>86</v>
      </c>
      <c r="J87" s="137" t="s">
        <v>302</v>
      </c>
      <c r="K87" s="137">
        <v>6</v>
      </c>
      <c r="L87" s="138">
        <v>0.25</v>
      </c>
      <c r="M87" s="119"/>
      <c r="N87" s="119"/>
      <c r="O87" s="119"/>
      <c r="P87" s="119"/>
      <c r="Q87" s="152"/>
      <c r="R87" s="119"/>
      <c r="T87" s="145"/>
      <c r="U87" s="145"/>
      <c r="V87" s="145"/>
      <c r="W87" s="145"/>
      <c r="X87" s="145"/>
      <c r="Y87" s="145"/>
      <c r="Z87" s="145"/>
      <c r="AA87" s="145"/>
      <c r="AB87" s="145"/>
      <c r="AC87" s="145"/>
    </row>
    <row r="88" spans="2:29" s="104" customFormat="1" ht="15" customHeight="1">
      <c r="B88" s="136"/>
      <c r="H88" s="104">
        <f t="shared" si="6"/>
        <v>5</v>
      </c>
      <c r="I88" s="119">
        <v>87</v>
      </c>
      <c r="J88" s="137" t="s">
        <v>303</v>
      </c>
      <c r="K88" s="137">
        <v>0</v>
      </c>
      <c r="L88" s="138">
        <v>0</v>
      </c>
      <c r="M88" s="119"/>
      <c r="N88" s="119"/>
      <c r="O88" s="119"/>
      <c r="P88" s="119"/>
      <c r="Q88" s="152"/>
      <c r="R88" s="119"/>
      <c r="T88" s="145"/>
      <c r="U88" s="145"/>
      <c r="V88" s="145"/>
      <c r="W88" s="145"/>
      <c r="X88" s="145"/>
      <c r="Y88" s="145"/>
      <c r="Z88" s="145"/>
      <c r="AA88" s="145"/>
      <c r="AB88" s="145"/>
      <c r="AC88" s="145"/>
    </row>
    <row r="89" spans="2:29" s="104" customFormat="1" ht="15" customHeight="1">
      <c r="B89" s="136"/>
      <c r="H89" s="104">
        <f t="shared" si="6"/>
        <v>3</v>
      </c>
      <c r="I89" s="119">
        <v>88</v>
      </c>
      <c r="J89" s="137" t="s">
        <v>304</v>
      </c>
      <c r="K89" s="137">
        <v>-2</v>
      </c>
      <c r="L89" s="138">
        <v>8.3333333333333329E-2</v>
      </c>
      <c r="M89" s="119"/>
      <c r="N89" s="119"/>
      <c r="O89" s="119"/>
      <c r="P89" s="119"/>
      <c r="Q89" s="152"/>
      <c r="R89" s="119"/>
      <c r="T89" s="145"/>
      <c r="U89" s="145"/>
      <c r="V89" s="145"/>
      <c r="W89" s="145"/>
      <c r="X89" s="145"/>
      <c r="Y89" s="145"/>
      <c r="Z89" s="145"/>
      <c r="AA89" s="145"/>
      <c r="AB89" s="145"/>
      <c r="AC89" s="145"/>
    </row>
    <row r="90" spans="2:29" s="104" customFormat="1" ht="15" customHeight="1">
      <c r="B90" s="136"/>
      <c r="H90" s="104">
        <f t="shared" si="6"/>
        <v>4</v>
      </c>
      <c r="I90" s="119">
        <v>89</v>
      </c>
      <c r="J90" s="137" t="s">
        <v>305</v>
      </c>
      <c r="K90" s="137">
        <v>-1</v>
      </c>
      <c r="L90" s="138">
        <v>4.1666666666666664E-2</v>
      </c>
      <c r="M90" s="119"/>
      <c r="N90" s="119"/>
      <c r="O90" s="119"/>
      <c r="P90" s="119"/>
      <c r="Q90" s="152"/>
      <c r="R90" s="119"/>
      <c r="T90" s="145"/>
      <c r="U90" s="145"/>
      <c r="V90" s="145"/>
      <c r="W90" s="145"/>
      <c r="X90" s="145"/>
      <c r="Y90" s="145"/>
      <c r="Z90" s="145"/>
      <c r="AA90" s="145"/>
      <c r="AB90" s="145"/>
      <c r="AC90" s="145"/>
    </row>
    <row r="91" spans="2:29" s="104" customFormat="1" ht="15" customHeight="1">
      <c r="B91" s="136"/>
      <c r="H91" s="104">
        <f t="shared" si="6"/>
        <v>12</v>
      </c>
      <c r="I91" s="119">
        <v>90</v>
      </c>
      <c r="J91" s="137" t="s">
        <v>306</v>
      </c>
      <c r="K91" s="137">
        <v>7</v>
      </c>
      <c r="L91" s="138">
        <v>0.29166666666666669</v>
      </c>
      <c r="M91" s="119"/>
      <c r="N91" s="119"/>
      <c r="O91" s="119"/>
      <c r="P91" s="119"/>
      <c r="Q91" s="151"/>
      <c r="R91" s="119"/>
      <c r="T91" s="145"/>
      <c r="U91" s="145"/>
      <c r="V91" s="145"/>
      <c r="W91" s="145"/>
      <c r="X91" s="145"/>
      <c r="Y91" s="145"/>
      <c r="Z91" s="145"/>
      <c r="AA91" s="145"/>
      <c r="AB91" s="145"/>
      <c r="AC91" s="145"/>
    </row>
    <row r="92" spans="2:29" s="104" customFormat="1" ht="15" customHeight="1">
      <c r="B92" s="136"/>
      <c r="H92" s="104">
        <f t="shared" si="6"/>
        <v>13.5</v>
      </c>
      <c r="I92" s="119">
        <v>91</v>
      </c>
      <c r="J92" s="137" t="s">
        <v>307</v>
      </c>
      <c r="K92" s="137">
        <v>8.5</v>
      </c>
      <c r="L92" s="138">
        <v>0.36805555555555558</v>
      </c>
      <c r="M92" s="119"/>
      <c r="N92" s="119"/>
      <c r="O92" s="119"/>
      <c r="P92" s="119"/>
      <c r="Q92" s="152"/>
      <c r="R92" s="119"/>
      <c r="T92" s="145"/>
      <c r="U92" s="145"/>
      <c r="V92" s="145"/>
      <c r="W92" s="145"/>
      <c r="X92" s="145"/>
      <c r="Y92" s="145"/>
      <c r="Z92" s="145"/>
      <c r="AA92" s="145"/>
      <c r="AB92" s="145"/>
      <c r="AC92" s="145"/>
    </row>
    <row r="93" spans="2:29" s="104" customFormat="1" ht="15" customHeight="1">
      <c r="B93" s="136"/>
      <c r="H93" s="104">
        <f t="shared" si="6"/>
        <v>11</v>
      </c>
      <c r="I93" s="119">
        <v>92</v>
      </c>
      <c r="J93" s="137" t="s">
        <v>308</v>
      </c>
      <c r="K93" s="137">
        <v>6</v>
      </c>
      <c r="L93" s="138">
        <v>0.25</v>
      </c>
      <c r="M93" s="119"/>
      <c r="N93" s="119"/>
      <c r="O93" s="119"/>
      <c r="P93" s="119"/>
      <c r="Q93" s="152"/>
      <c r="R93" s="119"/>
      <c r="T93" s="145"/>
      <c r="U93" s="145"/>
      <c r="V93" s="145"/>
      <c r="W93" s="145"/>
      <c r="X93" s="145"/>
      <c r="Y93" s="145"/>
      <c r="Z93" s="145"/>
      <c r="AA93" s="145"/>
      <c r="AB93" s="145"/>
      <c r="AC93" s="145"/>
    </row>
    <row r="94" spans="2:29" s="104" customFormat="1" ht="15" customHeight="1">
      <c r="B94" s="136"/>
      <c r="H94" s="104">
        <f t="shared" si="6"/>
        <v>4</v>
      </c>
      <c r="I94" s="119">
        <v>93</v>
      </c>
      <c r="J94" s="137" t="s">
        <v>309</v>
      </c>
      <c r="K94" s="137">
        <v>-1</v>
      </c>
      <c r="L94" s="138">
        <v>4.1666666666666664E-2</v>
      </c>
      <c r="M94" s="119"/>
      <c r="N94" s="119"/>
      <c r="O94" s="119"/>
      <c r="P94" s="119"/>
      <c r="Q94" s="152"/>
      <c r="R94" s="119"/>
      <c r="T94" s="145"/>
      <c r="U94" s="145"/>
      <c r="V94" s="145"/>
      <c r="W94" s="145"/>
      <c r="X94" s="145"/>
      <c r="Y94" s="145"/>
      <c r="Z94" s="145"/>
      <c r="AA94" s="145"/>
      <c r="AB94" s="145"/>
      <c r="AC94" s="145"/>
    </row>
    <row r="95" spans="2:29" s="104" customFormat="1" ht="15" customHeight="1">
      <c r="B95" s="136"/>
      <c r="H95" s="104">
        <f t="shared" si="6"/>
        <v>13.5</v>
      </c>
      <c r="I95" s="119">
        <v>94</v>
      </c>
      <c r="J95" s="137" t="s">
        <v>310</v>
      </c>
      <c r="K95" s="137">
        <v>8.5</v>
      </c>
      <c r="L95" s="138">
        <v>0.36805555555555558</v>
      </c>
      <c r="M95" s="119"/>
      <c r="N95" s="119"/>
      <c r="O95" s="119"/>
      <c r="P95" s="119"/>
      <c r="Q95" s="152"/>
      <c r="R95" s="119"/>
      <c r="T95" s="145"/>
      <c r="U95" s="145"/>
      <c r="V95" s="145"/>
      <c r="W95" s="145"/>
      <c r="X95" s="145"/>
      <c r="Y95" s="145"/>
      <c r="Z95" s="145"/>
      <c r="AA95" s="145"/>
      <c r="AB95" s="145"/>
      <c r="AC95" s="145"/>
    </row>
    <row r="96" spans="2:29" s="104" customFormat="1" ht="15" customHeight="1">
      <c r="B96" s="136"/>
      <c r="H96" s="104">
        <f t="shared" si="6"/>
        <v>3</v>
      </c>
      <c r="I96" s="119">
        <v>95</v>
      </c>
      <c r="J96" s="137" t="s">
        <v>311</v>
      </c>
      <c r="K96" s="137">
        <v>-2</v>
      </c>
      <c r="L96" s="138">
        <v>8.3333333333333329E-2</v>
      </c>
      <c r="M96" s="119"/>
      <c r="N96" s="119"/>
      <c r="O96" s="119"/>
      <c r="P96" s="119"/>
      <c r="Q96" s="152"/>
      <c r="R96" s="119"/>
      <c r="T96" s="145"/>
      <c r="U96" s="145"/>
      <c r="V96" s="145"/>
      <c r="W96" s="145"/>
      <c r="X96" s="145"/>
      <c r="Y96" s="145"/>
      <c r="Z96" s="145"/>
      <c r="AA96" s="145"/>
      <c r="AB96" s="145"/>
      <c r="AC96" s="145"/>
    </row>
    <row r="97" spans="2:29" s="104" customFormat="1" ht="15" customHeight="1">
      <c r="B97" s="136"/>
      <c r="H97" s="104">
        <f t="shared" si="6"/>
        <v>4</v>
      </c>
      <c r="I97" s="119">
        <v>96</v>
      </c>
      <c r="J97" s="137" t="s">
        <v>312</v>
      </c>
      <c r="K97" s="137">
        <v>-1</v>
      </c>
      <c r="L97" s="138">
        <v>4.1666666666666664E-2</v>
      </c>
      <c r="M97" s="119"/>
      <c r="N97" s="119"/>
      <c r="O97" s="119"/>
      <c r="P97" s="119"/>
      <c r="Q97" s="151"/>
      <c r="R97" s="119"/>
      <c r="T97" s="145"/>
      <c r="U97" s="145"/>
      <c r="V97" s="145"/>
      <c r="W97" s="145"/>
      <c r="X97" s="145"/>
      <c r="Y97" s="145"/>
      <c r="Z97" s="145"/>
      <c r="AA97" s="145"/>
      <c r="AB97" s="145"/>
      <c r="AC97" s="145"/>
    </row>
    <row r="98" spans="2:29" s="104" customFormat="1" ht="15" customHeight="1">
      <c r="B98" s="136"/>
      <c r="H98" s="104">
        <f t="shared" si="6"/>
        <v>10</v>
      </c>
      <c r="I98" s="119">
        <v>97</v>
      </c>
      <c r="J98" s="137" t="s">
        <v>313</v>
      </c>
      <c r="K98" s="137">
        <v>5</v>
      </c>
      <c r="L98" s="138">
        <v>0.20833333333333334</v>
      </c>
      <c r="M98" s="119"/>
      <c r="N98" s="119"/>
      <c r="O98" s="119"/>
      <c r="P98" s="119"/>
      <c r="Q98" s="151"/>
      <c r="R98" s="119"/>
      <c r="T98" s="145"/>
      <c r="U98" s="145"/>
      <c r="V98" s="145"/>
      <c r="W98" s="145"/>
      <c r="X98" s="145"/>
      <c r="Y98" s="145"/>
      <c r="Z98" s="145"/>
      <c r="AA98" s="145"/>
      <c r="AB98" s="145"/>
      <c r="AC98" s="145"/>
    </row>
    <row r="99" spans="2:29" s="104" customFormat="1" ht="15" customHeight="1">
      <c r="B99" s="136"/>
      <c r="H99" s="104">
        <f t="shared" si="6"/>
        <v>4</v>
      </c>
      <c r="I99" s="119">
        <v>98</v>
      </c>
      <c r="J99" s="137" t="s">
        <v>314</v>
      </c>
      <c r="K99" s="137">
        <v>-1</v>
      </c>
      <c r="L99" s="138">
        <v>4.1666666666666664E-2</v>
      </c>
      <c r="M99" s="119"/>
      <c r="N99" s="119"/>
      <c r="O99" s="119"/>
      <c r="P99" s="119"/>
      <c r="Q99" s="151"/>
      <c r="R99" s="119"/>
      <c r="T99" s="145"/>
      <c r="U99" s="145"/>
      <c r="V99" s="145"/>
      <c r="W99" s="145"/>
      <c r="X99" s="145"/>
      <c r="Y99" s="145"/>
      <c r="Z99" s="145"/>
      <c r="AA99" s="145"/>
      <c r="AB99" s="145"/>
      <c r="AC99" s="145"/>
    </row>
    <row r="100" spans="2:29" s="104" customFormat="1" ht="15" customHeight="1">
      <c r="B100" s="136"/>
      <c r="H100" s="104">
        <f t="shared" si="6"/>
        <v>10</v>
      </c>
      <c r="I100" s="119">
        <v>99</v>
      </c>
      <c r="J100" s="137" t="s">
        <v>315</v>
      </c>
      <c r="K100" s="137">
        <v>5</v>
      </c>
      <c r="L100" s="138">
        <v>0.20833333333333334</v>
      </c>
      <c r="M100" s="119"/>
      <c r="N100" s="119"/>
      <c r="O100" s="119"/>
      <c r="P100" s="119"/>
      <c r="Q100" s="151"/>
      <c r="R100" s="119"/>
      <c r="T100" s="145"/>
      <c r="U100" s="145"/>
      <c r="V100" s="145"/>
      <c r="W100" s="145"/>
      <c r="X100" s="145"/>
      <c r="Y100" s="145"/>
      <c r="Z100" s="145"/>
      <c r="AA100" s="145"/>
      <c r="AB100" s="145"/>
      <c r="AC100" s="145"/>
    </row>
    <row r="101" spans="2:29" s="104" customFormat="1" ht="15" customHeight="1">
      <c r="B101" s="136"/>
      <c r="H101" s="104">
        <f t="shared" si="6"/>
        <v>16</v>
      </c>
      <c r="I101" s="119">
        <v>100</v>
      </c>
      <c r="J101" s="137" t="s">
        <v>316</v>
      </c>
      <c r="K101" s="137">
        <v>11</v>
      </c>
      <c r="L101" s="138">
        <v>0.45833333333333331</v>
      </c>
      <c r="M101" s="119"/>
      <c r="N101" s="119"/>
      <c r="O101" s="119"/>
      <c r="P101" s="119"/>
      <c r="Q101" s="151"/>
      <c r="R101" s="119"/>
      <c r="T101" s="145"/>
      <c r="U101" s="145"/>
      <c r="V101" s="145"/>
      <c r="W101" s="145"/>
      <c r="X101" s="145"/>
      <c r="Y101" s="145"/>
      <c r="Z101" s="145"/>
      <c r="AA101" s="145"/>
      <c r="AB101" s="145"/>
      <c r="AC101" s="145"/>
    </row>
    <row r="102" spans="2:29" s="104" customFormat="1" ht="15" customHeight="1">
      <c r="B102" s="136"/>
      <c r="H102" s="104">
        <f t="shared" si="6"/>
        <v>4</v>
      </c>
      <c r="I102" s="119">
        <v>101</v>
      </c>
      <c r="J102" s="137" t="s">
        <v>317</v>
      </c>
      <c r="K102" s="137">
        <v>-1</v>
      </c>
      <c r="L102" s="138">
        <v>4.1666666666666664E-2</v>
      </c>
      <c r="M102" s="119"/>
      <c r="N102" s="119"/>
      <c r="O102" s="119"/>
      <c r="P102" s="119"/>
      <c r="Q102" s="151"/>
      <c r="R102" s="119"/>
      <c r="T102" s="145"/>
      <c r="U102" s="145"/>
      <c r="V102" s="145"/>
      <c r="W102" s="145"/>
      <c r="X102" s="145"/>
      <c r="Y102" s="145"/>
      <c r="Z102" s="145"/>
      <c r="AA102" s="145"/>
      <c r="AB102" s="145"/>
      <c r="AC102" s="145"/>
    </row>
    <row r="103" spans="2:29" s="104" customFormat="1" ht="15" customHeight="1">
      <c r="B103" s="136"/>
      <c r="H103" s="104">
        <f t="shared" si="6"/>
        <v>1</v>
      </c>
      <c r="I103" s="119">
        <v>102</v>
      </c>
      <c r="J103" s="137" t="s">
        <v>318</v>
      </c>
      <c r="K103" s="137">
        <v>-4</v>
      </c>
      <c r="L103" s="138">
        <v>0.16666666666666666</v>
      </c>
      <c r="M103" s="119"/>
      <c r="N103" s="119"/>
      <c r="O103" s="119"/>
      <c r="P103" s="119"/>
      <c r="Q103" s="151"/>
      <c r="R103" s="119"/>
      <c r="T103" s="145"/>
      <c r="U103" s="145"/>
      <c r="V103" s="145"/>
      <c r="W103" s="145"/>
      <c r="X103" s="145"/>
      <c r="Y103" s="145"/>
      <c r="Z103" s="145"/>
      <c r="AA103" s="145"/>
      <c r="AB103" s="145"/>
      <c r="AC103" s="145"/>
    </row>
    <row r="104" spans="2:29" s="104" customFormat="1" ht="15" customHeight="1">
      <c r="B104" s="136"/>
      <c r="H104" s="104">
        <f t="shared" si="6"/>
        <v>10</v>
      </c>
      <c r="I104" s="119">
        <v>103</v>
      </c>
      <c r="J104" s="137" t="s">
        <v>319</v>
      </c>
      <c r="K104" s="137">
        <v>5</v>
      </c>
      <c r="L104" s="138">
        <v>0.20833333333333334</v>
      </c>
      <c r="M104" s="119"/>
      <c r="N104" s="119"/>
      <c r="O104" s="119"/>
      <c r="P104" s="119"/>
      <c r="Q104" s="151"/>
      <c r="R104" s="119"/>
      <c r="T104" s="145"/>
      <c r="U104" s="145"/>
      <c r="V104" s="145"/>
      <c r="W104" s="145"/>
      <c r="X104" s="145"/>
      <c r="Y104" s="145"/>
      <c r="Z104" s="145"/>
      <c r="AA104" s="145"/>
      <c r="AB104" s="145"/>
      <c r="AC104" s="145"/>
    </row>
    <row r="105" spans="2:29" s="104" customFormat="1" ht="15" customHeight="1">
      <c r="B105" s="136"/>
      <c r="H105" s="104">
        <f t="shared" si="6"/>
        <v>8</v>
      </c>
      <c r="I105" s="119">
        <v>104</v>
      </c>
      <c r="J105" s="137" t="s">
        <v>320</v>
      </c>
      <c r="K105" s="137">
        <v>3</v>
      </c>
      <c r="L105" s="138">
        <v>0.125</v>
      </c>
      <c r="M105" s="119"/>
      <c r="N105" s="119"/>
      <c r="O105" s="119"/>
      <c r="P105" s="119"/>
      <c r="Q105" s="151"/>
      <c r="R105" s="119"/>
      <c r="T105" s="145"/>
      <c r="U105" s="145"/>
      <c r="V105" s="145"/>
      <c r="W105" s="145"/>
      <c r="X105" s="145"/>
      <c r="Y105" s="145"/>
      <c r="Z105" s="145"/>
      <c r="AA105" s="145"/>
      <c r="AB105" s="145"/>
      <c r="AC105" s="145"/>
    </row>
    <row r="106" spans="2:29" s="104" customFormat="1" ht="15" customHeight="1">
      <c r="B106" s="136"/>
      <c r="H106" s="104">
        <f t="shared" si="6"/>
        <v>5</v>
      </c>
      <c r="I106" s="119">
        <v>105</v>
      </c>
      <c r="J106" s="137" t="s">
        <v>321</v>
      </c>
      <c r="K106" s="137">
        <v>0</v>
      </c>
      <c r="L106" s="138">
        <v>0</v>
      </c>
      <c r="M106" s="119"/>
      <c r="N106" s="119"/>
      <c r="O106" s="119"/>
      <c r="P106" s="119"/>
      <c r="Q106" s="151"/>
      <c r="R106" s="119"/>
      <c r="T106" s="145"/>
      <c r="U106" s="145"/>
      <c r="V106" s="145"/>
      <c r="W106" s="145"/>
      <c r="X106" s="145"/>
      <c r="Y106" s="145"/>
      <c r="Z106" s="145"/>
      <c r="AA106" s="145"/>
      <c r="AB106" s="145"/>
      <c r="AC106" s="145"/>
    </row>
    <row r="107" spans="2:29" s="104" customFormat="1" ht="15" customHeight="1">
      <c r="B107" s="136"/>
      <c r="H107" s="104">
        <f t="shared" si="6"/>
        <v>11</v>
      </c>
      <c r="I107" s="119">
        <v>106</v>
      </c>
      <c r="J107" s="137" t="s">
        <v>322</v>
      </c>
      <c r="K107" s="137">
        <v>6</v>
      </c>
      <c r="L107" s="138">
        <v>0.25</v>
      </c>
      <c r="M107" s="119"/>
      <c r="N107" s="119"/>
      <c r="O107" s="119"/>
      <c r="P107" s="119"/>
      <c r="Q107" s="151"/>
      <c r="R107" s="119"/>
      <c r="T107" s="145"/>
      <c r="U107" s="145"/>
      <c r="V107" s="145"/>
      <c r="W107" s="145"/>
      <c r="X107" s="145"/>
      <c r="Y107" s="145"/>
      <c r="Z107" s="145"/>
      <c r="AA107" s="145"/>
      <c r="AB107" s="145"/>
      <c r="AC107" s="145"/>
    </row>
    <row r="108" spans="2:29" s="104" customFormat="1" ht="15" customHeight="1">
      <c r="B108" s="136"/>
      <c r="H108" s="104">
        <f t="shared" si="6"/>
        <v>10</v>
      </c>
      <c r="I108" s="119">
        <v>107</v>
      </c>
      <c r="J108" s="137" t="s">
        <v>323</v>
      </c>
      <c r="K108" s="137">
        <v>5</v>
      </c>
      <c r="L108" s="138">
        <v>0.20833333333333334</v>
      </c>
      <c r="M108" s="119"/>
      <c r="N108" s="119"/>
      <c r="O108" s="119"/>
      <c r="P108" s="119"/>
      <c r="Q108" s="151"/>
      <c r="R108" s="119"/>
      <c r="T108" s="145"/>
      <c r="U108" s="145"/>
      <c r="V108" s="145"/>
      <c r="W108" s="145"/>
      <c r="X108" s="145"/>
      <c r="Y108" s="145"/>
      <c r="Z108" s="145"/>
      <c r="AA108" s="145"/>
      <c r="AB108" s="145"/>
      <c r="AC108" s="145"/>
    </row>
    <row r="109" spans="2:29" s="104" customFormat="1" ht="15" customHeight="1">
      <c r="B109" s="136"/>
      <c r="H109" s="104">
        <f t="shared" si="6"/>
        <v>1</v>
      </c>
      <c r="I109" s="119">
        <v>108</v>
      </c>
      <c r="J109" s="137" t="s">
        <v>324</v>
      </c>
      <c r="K109" s="137">
        <v>-4</v>
      </c>
      <c r="L109" s="138">
        <v>0.16666666666666666</v>
      </c>
      <c r="M109" s="119"/>
      <c r="N109" s="119"/>
      <c r="O109" s="119"/>
      <c r="P109" s="119"/>
      <c r="Q109" s="151"/>
      <c r="R109" s="119"/>
      <c r="T109" s="145"/>
      <c r="U109" s="145"/>
      <c r="V109" s="145"/>
      <c r="W109" s="145"/>
      <c r="X109" s="145"/>
      <c r="Y109" s="145"/>
      <c r="Z109" s="145"/>
      <c r="AA109" s="145"/>
      <c r="AB109" s="145"/>
      <c r="AC109" s="145"/>
    </row>
    <row r="110" spans="2:29" s="104" customFormat="1" ht="15" customHeight="1">
      <c r="B110" s="136"/>
      <c r="H110" s="104">
        <f t="shared" si="6"/>
        <v>4</v>
      </c>
      <c r="I110" s="119">
        <v>109</v>
      </c>
      <c r="J110" s="137" t="s">
        <v>325</v>
      </c>
      <c r="K110" s="137">
        <v>-1</v>
      </c>
      <c r="L110" s="138">
        <v>4.1666666666666664E-2</v>
      </c>
      <c r="M110" s="119"/>
      <c r="N110" s="119"/>
      <c r="O110" s="119"/>
      <c r="P110" s="119"/>
      <c r="Q110" s="151"/>
      <c r="R110" s="119"/>
      <c r="T110" s="145"/>
      <c r="U110" s="145"/>
      <c r="V110" s="145"/>
      <c r="W110" s="145"/>
      <c r="X110" s="145"/>
      <c r="Y110" s="145"/>
      <c r="Z110" s="145"/>
      <c r="AA110" s="145"/>
      <c r="AB110" s="145"/>
      <c r="AC110" s="145"/>
    </row>
    <row r="111" spans="2:29" s="104" customFormat="1" ht="15" customHeight="1">
      <c r="B111" s="136"/>
      <c r="H111" s="104">
        <f t="shared" si="6"/>
        <v>2</v>
      </c>
      <c r="I111" s="119">
        <v>110</v>
      </c>
      <c r="J111" s="137" t="s">
        <v>326</v>
      </c>
      <c r="K111" s="137">
        <v>-3</v>
      </c>
      <c r="L111" s="138">
        <v>0.125</v>
      </c>
      <c r="M111" s="119"/>
      <c r="N111" s="119"/>
      <c r="O111" s="119"/>
      <c r="P111" s="119"/>
      <c r="Q111" s="151"/>
      <c r="R111" s="119"/>
      <c r="T111" s="145"/>
      <c r="U111" s="145"/>
      <c r="V111" s="145"/>
      <c r="W111" s="145"/>
      <c r="X111" s="145"/>
      <c r="Y111" s="145"/>
      <c r="Z111" s="145"/>
      <c r="AA111" s="145"/>
      <c r="AB111" s="145"/>
      <c r="AC111" s="145"/>
    </row>
    <row r="112" spans="2:29" s="104" customFormat="1" ht="15" customHeight="1">
      <c r="B112" s="136"/>
      <c r="H112" s="104">
        <f t="shared" si="6"/>
        <v>4</v>
      </c>
      <c r="I112" s="119">
        <v>111</v>
      </c>
      <c r="J112" s="137" t="s">
        <v>327</v>
      </c>
      <c r="K112" s="137">
        <v>-1</v>
      </c>
      <c r="L112" s="138">
        <v>4.1666666666666664E-2</v>
      </c>
      <c r="M112" s="119"/>
      <c r="N112" s="119"/>
      <c r="O112" s="119"/>
      <c r="P112" s="119"/>
      <c r="Q112" s="151"/>
      <c r="R112" s="119"/>
      <c r="T112" s="145"/>
      <c r="U112" s="145"/>
      <c r="V112" s="145"/>
      <c r="W112" s="145"/>
      <c r="X112" s="145"/>
      <c r="Y112" s="145"/>
      <c r="Z112" s="145"/>
      <c r="AA112" s="145"/>
      <c r="AB112" s="145"/>
      <c r="AC112" s="145"/>
    </row>
    <row r="113" spans="2:29" s="104" customFormat="1" ht="15" customHeight="1">
      <c r="B113" s="136"/>
      <c r="H113" s="104">
        <f t="shared" si="6"/>
        <v>4</v>
      </c>
      <c r="I113" s="119">
        <v>112</v>
      </c>
      <c r="J113" s="137" t="s">
        <v>328</v>
      </c>
      <c r="K113" s="137">
        <v>-1</v>
      </c>
      <c r="L113" s="138">
        <v>4.1666666666666664E-2</v>
      </c>
      <c r="M113" s="119"/>
      <c r="N113" s="119"/>
      <c r="O113" s="119"/>
      <c r="P113" s="119"/>
      <c r="Q113" s="151"/>
      <c r="R113" s="119"/>
      <c r="T113" s="145"/>
      <c r="U113" s="145"/>
      <c r="V113" s="145"/>
      <c r="W113" s="145"/>
      <c r="X113" s="145"/>
      <c r="Y113" s="145"/>
      <c r="Z113" s="145"/>
      <c r="AA113" s="145"/>
      <c r="AB113" s="145"/>
      <c r="AC113" s="145"/>
    </row>
    <row r="114" spans="2:29" s="104" customFormat="1" ht="15" customHeight="1">
      <c r="B114" s="136"/>
      <c r="H114" s="104">
        <f t="shared" si="6"/>
        <v>5</v>
      </c>
      <c r="I114" s="119">
        <v>113</v>
      </c>
      <c r="J114" s="137" t="s">
        <v>329</v>
      </c>
      <c r="K114" s="137">
        <v>0</v>
      </c>
      <c r="L114" s="138">
        <v>0</v>
      </c>
      <c r="M114" s="119"/>
      <c r="N114" s="119"/>
      <c r="O114" s="119"/>
      <c r="P114" s="119"/>
      <c r="Q114" s="151"/>
      <c r="R114" s="119"/>
      <c r="T114" s="145"/>
      <c r="U114" s="145"/>
      <c r="V114" s="145"/>
      <c r="W114" s="145"/>
      <c r="X114" s="145"/>
      <c r="Y114" s="145"/>
      <c r="Z114" s="145"/>
      <c r="AA114" s="145"/>
      <c r="AB114" s="145"/>
      <c r="AC114" s="145"/>
    </row>
    <row r="115" spans="2:29" s="104" customFormat="1" ht="15" customHeight="1">
      <c r="B115" s="136"/>
      <c r="H115" s="104">
        <f t="shared" si="6"/>
        <v>1</v>
      </c>
      <c r="I115" s="119">
        <v>114</v>
      </c>
      <c r="J115" s="137" t="s">
        <v>330</v>
      </c>
      <c r="K115" s="137">
        <v>-4</v>
      </c>
      <c r="L115" s="138">
        <v>0.16666666666666666</v>
      </c>
      <c r="M115" s="119"/>
      <c r="N115" s="119"/>
      <c r="O115" s="119"/>
      <c r="P115" s="119"/>
      <c r="Q115" s="151"/>
      <c r="R115" s="119"/>
      <c r="T115" s="145"/>
      <c r="U115" s="145"/>
      <c r="V115" s="145"/>
      <c r="W115" s="145"/>
      <c r="X115" s="145"/>
      <c r="Y115" s="145"/>
      <c r="Z115" s="145"/>
      <c r="AA115" s="145"/>
      <c r="AB115" s="145"/>
      <c r="AC115" s="145"/>
    </row>
    <row r="116" spans="2:29" s="104" customFormat="1" ht="15" customHeight="1">
      <c r="B116" s="136"/>
      <c r="H116" s="104">
        <f t="shared" si="6"/>
        <v>17</v>
      </c>
      <c r="I116" s="119">
        <v>115</v>
      </c>
      <c r="J116" s="137" t="s">
        <v>331</v>
      </c>
      <c r="K116" s="137">
        <v>12</v>
      </c>
      <c r="L116" s="138">
        <v>0.5</v>
      </c>
      <c r="M116" s="119"/>
      <c r="N116" s="119"/>
      <c r="O116" s="119"/>
      <c r="P116" s="119"/>
      <c r="Q116" s="151"/>
      <c r="R116" s="119"/>
      <c r="T116" s="145"/>
      <c r="U116" s="145"/>
      <c r="V116" s="145"/>
      <c r="W116" s="145"/>
      <c r="X116" s="145"/>
      <c r="Y116" s="145"/>
      <c r="Z116" s="145"/>
      <c r="AA116" s="145"/>
      <c r="AB116" s="145"/>
      <c r="AC116" s="145"/>
    </row>
    <row r="117" spans="2:29" s="104" customFormat="1" ht="15" customHeight="1">
      <c r="B117" s="136"/>
      <c r="H117" s="104">
        <f t="shared" si="6"/>
        <v>16</v>
      </c>
      <c r="I117" s="119">
        <v>116</v>
      </c>
      <c r="J117" s="137" t="s">
        <v>332</v>
      </c>
      <c r="K117" s="137">
        <v>11</v>
      </c>
      <c r="L117" s="138">
        <v>0.45833333333333331</v>
      </c>
      <c r="M117" s="119"/>
      <c r="N117" s="119"/>
      <c r="O117" s="119"/>
      <c r="P117" s="119"/>
      <c r="Q117" s="151"/>
      <c r="R117" s="119"/>
      <c r="T117" s="145"/>
      <c r="U117" s="145"/>
      <c r="V117" s="145"/>
      <c r="W117" s="145"/>
      <c r="X117" s="145"/>
      <c r="Y117" s="145"/>
      <c r="Z117" s="145"/>
      <c r="AA117" s="145"/>
      <c r="AB117" s="145"/>
      <c r="AC117" s="145"/>
    </row>
    <row r="118" spans="2:29" s="104" customFormat="1" ht="15" customHeight="1">
      <c r="B118" s="136"/>
      <c r="H118" s="104">
        <f t="shared" si="6"/>
        <v>16</v>
      </c>
      <c r="I118" s="119">
        <v>117</v>
      </c>
      <c r="J118" s="137" t="s">
        <v>333</v>
      </c>
      <c r="K118" s="137">
        <v>11</v>
      </c>
      <c r="L118" s="138">
        <v>0.45833333333333331</v>
      </c>
      <c r="M118" s="119"/>
      <c r="N118" s="119"/>
      <c r="O118" s="119"/>
      <c r="P118" s="119"/>
      <c r="Q118" s="151"/>
      <c r="R118" s="119"/>
      <c r="T118" s="145"/>
      <c r="U118" s="145"/>
      <c r="V118" s="145"/>
      <c r="W118" s="145"/>
      <c r="X118" s="145"/>
      <c r="Y118" s="145"/>
      <c r="Z118" s="145"/>
      <c r="AA118" s="145"/>
      <c r="AB118" s="145"/>
      <c r="AC118" s="145"/>
    </row>
    <row r="119" spans="2:29" s="104" customFormat="1" ht="15" customHeight="1">
      <c r="B119" s="136"/>
      <c r="H119" s="104">
        <f t="shared" si="6"/>
        <v>11</v>
      </c>
      <c r="I119" s="119">
        <v>118</v>
      </c>
      <c r="J119" s="137" t="s">
        <v>334</v>
      </c>
      <c r="K119" s="137">
        <v>6</v>
      </c>
      <c r="L119" s="138">
        <v>0.25</v>
      </c>
      <c r="M119" s="119"/>
      <c r="N119" s="119"/>
      <c r="O119" s="119"/>
      <c r="P119" s="119"/>
      <c r="Q119" s="151"/>
      <c r="R119" s="119"/>
      <c r="T119" s="145"/>
      <c r="U119" s="145"/>
      <c r="V119" s="145"/>
      <c r="W119" s="145"/>
      <c r="X119" s="145"/>
      <c r="Y119" s="145"/>
      <c r="Z119" s="145"/>
      <c r="AA119" s="145"/>
      <c r="AB119" s="145"/>
      <c r="AC119" s="145"/>
    </row>
    <row r="120" spans="2:29" s="104" customFormat="1" ht="15" customHeight="1">
      <c r="B120" s="136"/>
      <c r="H120" s="104">
        <f t="shared" si="6"/>
        <v>6</v>
      </c>
      <c r="I120" s="119">
        <v>119</v>
      </c>
      <c r="J120" s="137" t="s">
        <v>335</v>
      </c>
      <c r="K120" s="137">
        <v>1</v>
      </c>
      <c r="L120" s="138">
        <v>4.1666666666666664E-2</v>
      </c>
      <c r="M120" s="119"/>
      <c r="N120" s="119"/>
      <c r="O120" s="119"/>
      <c r="P120" s="119"/>
      <c r="Q120" s="151"/>
      <c r="R120" s="119"/>
      <c r="T120" s="145"/>
      <c r="U120" s="145"/>
      <c r="V120" s="145"/>
      <c r="W120" s="145"/>
      <c r="X120" s="145"/>
      <c r="Y120" s="145"/>
      <c r="Z120" s="145"/>
      <c r="AA120" s="145"/>
      <c r="AB120" s="145"/>
      <c r="AC120" s="145"/>
    </row>
    <row r="121" spans="2:29" s="104" customFormat="1" ht="15" customHeight="1">
      <c r="B121" s="136"/>
      <c r="H121" s="104">
        <f t="shared" si="6"/>
        <v>3</v>
      </c>
      <c r="I121" s="119">
        <v>120</v>
      </c>
      <c r="J121" s="137" t="s">
        <v>336</v>
      </c>
      <c r="K121" s="137">
        <v>-2</v>
      </c>
      <c r="L121" s="138">
        <v>8.3333333333333329E-2</v>
      </c>
      <c r="M121" s="119"/>
      <c r="N121" s="119"/>
      <c r="O121" s="119"/>
      <c r="P121" s="119"/>
      <c r="Q121" s="151"/>
      <c r="R121" s="119"/>
      <c r="T121" s="145"/>
      <c r="U121" s="145"/>
      <c r="V121" s="145"/>
      <c r="W121" s="145"/>
      <c r="X121" s="145"/>
      <c r="Y121" s="145"/>
      <c r="Z121" s="145"/>
      <c r="AA121" s="145"/>
      <c r="AB121" s="145"/>
      <c r="AC121" s="145"/>
    </row>
    <row r="122" spans="2:29" s="104" customFormat="1" ht="15" customHeight="1">
      <c r="B122" s="136"/>
      <c r="H122" s="104">
        <f t="shared" si="6"/>
        <v>10</v>
      </c>
      <c r="I122" s="119">
        <v>121</v>
      </c>
      <c r="J122" s="137" t="s">
        <v>337</v>
      </c>
      <c r="K122" s="137">
        <v>5</v>
      </c>
      <c r="L122" s="138">
        <v>0.20833333333333334</v>
      </c>
      <c r="M122" s="119"/>
      <c r="N122" s="119"/>
      <c r="O122" s="119"/>
      <c r="P122" s="119"/>
      <c r="Q122" s="151"/>
      <c r="R122" s="119"/>
      <c r="T122" s="145"/>
      <c r="U122" s="145"/>
      <c r="V122" s="145"/>
      <c r="W122" s="145"/>
      <c r="X122" s="145"/>
      <c r="Y122" s="145"/>
      <c r="Z122" s="145"/>
      <c r="AA122" s="145"/>
      <c r="AB122" s="145"/>
      <c r="AC122" s="145"/>
    </row>
    <row r="123" spans="2:29" s="104" customFormat="1" ht="15" customHeight="1">
      <c r="B123" s="136"/>
      <c r="H123" s="104">
        <f t="shared" si="6"/>
        <v>20</v>
      </c>
      <c r="I123" s="119">
        <v>122</v>
      </c>
      <c r="J123" s="137" t="s">
        <v>338</v>
      </c>
      <c r="K123" s="137">
        <v>15</v>
      </c>
      <c r="L123" s="138">
        <v>0.625</v>
      </c>
      <c r="M123" s="119"/>
      <c r="N123" s="119"/>
      <c r="O123" s="119"/>
      <c r="P123" s="119"/>
      <c r="Q123" s="152"/>
      <c r="R123" s="119"/>
      <c r="T123" s="145"/>
      <c r="U123" s="145"/>
      <c r="V123" s="145"/>
      <c r="W123" s="145"/>
      <c r="X123" s="145"/>
      <c r="Y123" s="145"/>
      <c r="Z123" s="145"/>
      <c r="AA123" s="145"/>
      <c r="AB123" s="145"/>
      <c r="AC123" s="145"/>
    </row>
    <row r="124" spans="2:29" s="104" customFormat="1" ht="15" customHeight="1">
      <c r="B124" s="136"/>
      <c r="H124" s="104">
        <f t="shared" si="6"/>
        <v>18</v>
      </c>
      <c r="I124" s="119">
        <v>123</v>
      </c>
      <c r="J124" s="137" t="s">
        <v>339</v>
      </c>
      <c r="K124" s="137">
        <v>13</v>
      </c>
      <c r="L124" s="138">
        <v>0.54166666666666663</v>
      </c>
      <c r="M124" s="119"/>
      <c r="N124" s="119"/>
      <c r="O124" s="119"/>
      <c r="P124" s="119"/>
      <c r="Q124" s="152"/>
      <c r="R124" s="119"/>
      <c r="T124" s="145"/>
      <c r="U124" s="145"/>
      <c r="V124" s="145"/>
      <c r="W124" s="145"/>
      <c r="X124" s="145"/>
      <c r="Y124" s="145"/>
      <c r="Z124" s="145"/>
      <c r="AA124" s="145"/>
      <c r="AB124" s="145"/>
      <c r="AC124" s="145"/>
    </row>
    <row r="125" spans="2:29" s="104" customFormat="1" ht="15" customHeight="1">
      <c r="B125" s="136"/>
      <c r="H125" s="104">
        <f t="shared" si="6"/>
        <v>16</v>
      </c>
      <c r="I125" s="119">
        <v>124</v>
      </c>
      <c r="J125" s="137" t="s">
        <v>340</v>
      </c>
      <c r="K125" s="137">
        <v>11</v>
      </c>
      <c r="L125" s="138">
        <v>0.45833333333333331</v>
      </c>
      <c r="M125" s="119"/>
      <c r="N125" s="119"/>
      <c r="O125" s="119"/>
      <c r="P125" s="119"/>
      <c r="Q125" s="152"/>
      <c r="R125" s="119"/>
      <c r="T125" s="145"/>
      <c r="U125" s="145"/>
      <c r="V125" s="145"/>
      <c r="W125" s="145"/>
      <c r="X125" s="145"/>
      <c r="Y125" s="145"/>
      <c r="Z125" s="145"/>
      <c r="AA125" s="145"/>
      <c r="AB125" s="145"/>
      <c r="AC125" s="145"/>
    </row>
    <row r="126" spans="2:29" s="104" customFormat="1" ht="15" customHeight="1">
      <c r="B126" s="136"/>
      <c r="H126" s="104">
        <f t="shared" si="6"/>
        <v>11</v>
      </c>
      <c r="I126" s="119">
        <v>125</v>
      </c>
      <c r="J126" s="137" t="s">
        <v>341</v>
      </c>
      <c r="K126" s="137">
        <v>6</v>
      </c>
      <c r="L126" s="138">
        <v>0.25</v>
      </c>
      <c r="M126" s="119"/>
      <c r="N126" s="119"/>
      <c r="O126" s="119"/>
      <c r="P126" s="119"/>
      <c r="Q126" s="152"/>
      <c r="R126" s="119"/>
      <c r="T126" s="145"/>
      <c r="U126" s="145"/>
      <c r="V126" s="145"/>
      <c r="W126" s="145"/>
      <c r="X126" s="145"/>
      <c r="Y126" s="145"/>
      <c r="Z126" s="145"/>
      <c r="AA126" s="145"/>
      <c r="AB126" s="145"/>
      <c r="AC126" s="145"/>
    </row>
    <row r="127" spans="2:29" s="104" customFormat="1" ht="15" customHeight="1">
      <c r="B127" s="136"/>
      <c r="H127" s="104">
        <f t="shared" si="6"/>
        <v>13</v>
      </c>
      <c r="I127" s="119">
        <v>126</v>
      </c>
      <c r="J127" s="137" t="s">
        <v>342</v>
      </c>
      <c r="K127" s="137">
        <v>8</v>
      </c>
      <c r="L127" s="138">
        <v>0.33333333333333331</v>
      </c>
      <c r="M127" s="119"/>
      <c r="N127" s="119"/>
      <c r="O127" s="119"/>
      <c r="P127" s="119"/>
      <c r="Q127" s="152"/>
      <c r="R127" s="119"/>
      <c r="T127" s="145"/>
      <c r="U127" s="145"/>
      <c r="V127" s="145"/>
      <c r="W127" s="145"/>
      <c r="X127" s="145"/>
      <c r="Y127" s="145"/>
      <c r="Z127" s="145"/>
      <c r="AA127" s="145"/>
      <c r="AB127" s="145"/>
      <c r="AC127" s="145"/>
    </row>
    <row r="128" spans="2:29" s="104" customFormat="1" ht="15" customHeight="1">
      <c r="B128" s="136"/>
      <c r="H128" s="104">
        <f t="shared" si="6"/>
        <v>2</v>
      </c>
      <c r="I128" s="119">
        <v>127</v>
      </c>
      <c r="J128" s="137" t="s">
        <v>343</v>
      </c>
      <c r="K128" s="137">
        <v>-3</v>
      </c>
      <c r="L128" s="138">
        <v>0.125</v>
      </c>
      <c r="M128" s="119"/>
      <c r="N128" s="119"/>
      <c r="O128" s="119"/>
      <c r="P128" s="119"/>
      <c r="Q128" s="152"/>
      <c r="R128" s="119"/>
      <c r="T128" s="145"/>
      <c r="U128" s="145"/>
      <c r="V128" s="145"/>
      <c r="W128" s="145"/>
      <c r="X128" s="145"/>
      <c r="Y128" s="145"/>
      <c r="Z128" s="145"/>
      <c r="AA128" s="145"/>
      <c r="AB128" s="145"/>
      <c r="AC128" s="145"/>
    </row>
    <row r="129" spans="2:29" s="104" customFormat="1" ht="15" customHeight="1">
      <c r="B129" s="136"/>
      <c r="H129" s="104">
        <f t="shared" si="6"/>
        <v>12.5</v>
      </c>
      <c r="I129" s="119">
        <v>128</v>
      </c>
      <c r="J129" s="137" t="s">
        <v>344</v>
      </c>
      <c r="K129" s="137">
        <v>7.5</v>
      </c>
      <c r="L129" s="138">
        <v>0.3125</v>
      </c>
      <c r="M129" s="119"/>
      <c r="N129" s="119"/>
      <c r="O129" s="119"/>
      <c r="P129" s="119"/>
      <c r="Q129" s="152"/>
      <c r="R129" s="119"/>
      <c r="T129" s="145"/>
      <c r="U129" s="145"/>
      <c r="V129" s="145"/>
      <c r="W129" s="145"/>
      <c r="X129" s="145"/>
      <c r="Y129" s="145"/>
      <c r="Z129" s="145"/>
      <c r="AA129" s="145"/>
      <c r="AB129" s="145"/>
      <c r="AC129" s="145"/>
    </row>
    <row r="130" spans="2:29" s="104" customFormat="1" ht="15" customHeight="1">
      <c r="B130" s="136"/>
      <c r="H130" s="104">
        <f t="shared" si="6"/>
        <v>17</v>
      </c>
      <c r="I130" s="119">
        <v>129</v>
      </c>
      <c r="J130" s="137" t="s">
        <v>345</v>
      </c>
      <c r="K130" s="137">
        <v>12</v>
      </c>
      <c r="L130" s="138">
        <v>0.5</v>
      </c>
      <c r="M130" s="119"/>
      <c r="N130" s="119"/>
      <c r="O130" s="119"/>
      <c r="P130" s="119"/>
      <c r="Q130" s="152"/>
      <c r="R130" s="119"/>
      <c r="T130" s="145"/>
      <c r="U130" s="145"/>
      <c r="V130" s="145"/>
      <c r="W130" s="145"/>
      <c r="X130" s="145"/>
      <c r="Y130" s="145"/>
      <c r="Z130" s="145"/>
      <c r="AA130" s="145"/>
      <c r="AB130" s="145"/>
      <c r="AC130" s="145"/>
    </row>
    <row r="131" spans="2:29" s="104" customFormat="1" ht="15" customHeight="1">
      <c r="B131" s="136"/>
      <c r="H131" s="104">
        <f t="shared" si="6"/>
        <v>4</v>
      </c>
      <c r="I131" s="119">
        <v>130</v>
      </c>
      <c r="J131" s="137" t="s">
        <v>346</v>
      </c>
      <c r="K131" s="137">
        <v>-1</v>
      </c>
      <c r="L131" s="138">
        <v>4.1666666666666664E-2</v>
      </c>
      <c r="M131" s="119"/>
      <c r="N131" s="119"/>
      <c r="O131" s="119"/>
      <c r="P131" s="119"/>
      <c r="Q131" s="152"/>
      <c r="R131" s="119"/>
      <c r="T131" s="145"/>
      <c r="U131" s="145"/>
      <c r="V131" s="145"/>
      <c r="W131" s="145"/>
      <c r="X131" s="145"/>
      <c r="Y131" s="145"/>
      <c r="Z131" s="145"/>
      <c r="AA131" s="145"/>
      <c r="AB131" s="145"/>
      <c r="AC131" s="145"/>
    </row>
    <row r="132" spans="2:29" s="104" customFormat="1" ht="15" customHeight="1">
      <c r="B132" s="136"/>
      <c r="H132" s="104">
        <f t="shared" si="6"/>
        <v>1</v>
      </c>
      <c r="I132" s="119">
        <v>131</v>
      </c>
      <c r="J132" s="137" t="s">
        <v>347</v>
      </c>
      <c r="K132" s="137">
        <v>-4</v>
      </c>
      <c r="L132" s="138">
        <v>0.16666666666666666</v>
      </c>
      <c r="M132" s="119"/>
      <c r="N132" s="119"/>
      <c r="O132" s="119"/>
      <c r="P132" s="119"/>
      <c r="Q132" s="152"/>
      <c r="R132" s="119"/>
      <c r="T132" s="145"/>
      <c r="U132" s="145"/>
      <c r="V132" s="145"/>
      <c r="W132" s="145"/>
      <c r="X132" s="145"/>
      <c r="Y132" s="145"/>
      <c r="Z132" s="145"/>
      <c r="AA132" s="145"/>
      <c r="AB132" s="145"/>
      <c r="AC132" s="145"/>
    </row>
    <row r="133" spans="2:29" s="104" customFormat="1" ht="15" customHeight="1">
      <c r="B133" s="136"/>
      <c r="H133" s="104">
        <f t="shared" si="6"/>
        <v>10</v>
      </c>
      <c r="I133" s="119">
        <v>132</v>
      </c>
      <c r="J133" s="137" t="s">
        <v>348</v>
      </c>
      <c r="K133" s="137">
        <v>5</v>
      </c>
      <c r="L133" s="138">
        <v>0.20833333333333334</v>
      </c>
      <c r="M133" s="119"/>
      <c r="N133" s="119"/>
      <c r="O133" s="119"/>
      <c r="P133" s="119"/>
      <c r="Q133" s="152"/>
      <c r="R133" s="119"/>
      <c r="T133" s="145"/>
      <c r="U133" s="145"/>
      <c r="V133" s="145"/>
      <c r="W133" s="145"/>
      <c r="X133" s="145"/>
      <c r="Y133" s="145"/>
      <c r="Z133" s="145"/>
      <c r="AA133" s="145"/>
      <c r="AB133" s="145"/>
      <c r="AC133" s="145"/>
    </row>
    <row r="134" spans="2:29" s="104" customFormat="1" ht="15" customHeight="1">
      <c r="B134" s="136"/>
      <c r="H134" s="104">
        <f t="shared" si="6"/>
        <v>19</v>
      </c>
      <c r="I134" s="119">
        <v>133</v>
      </c>
      <c r="J134" s="137" t="s">
        <v>349</v>
      </c>
      <c r="K134" s="137">
        <v>14</v>
      </c>
      <c r="L134" s="138">
        <v>0.58333333333333337</v>
      </c>
      <c r="M134" s="119"/>
      <c r="N134" s="119"/>
      <c r="O134" s="119"/>
      <c r="P134" s="119"/>
      <c r="Q134" s="152"/>
      <c r="R134" s="119"/>
      <c r="T134" s="145"/>
      <c r="U134" s="145"/>
      <c r="V134" s="145"/>
      <c r="W134" s="145"/>
      <c r="X134" s="145"/>
      <c r="Y134" s="145"/>
      <c r="Z134" s="145"/>
      <c r="AA134" s="145"/>
      <c r="AB134" s="145"/>
      <c r="AC134" s="145"/>
    </row>
    <row r="135" spans="2:29" s="104" customFormat="1" ht="15" customHeight="1">
      <c r="B135" s="136"/>
      <c r="H135" s="104">
        <f t="shared" si="6"/>
        <v>10</v>
      </c>
      <c r="I135" s="119">
        <v>134</v>
      </c>
      <c r="J135" s="137" t="s">
        <v>350</v>
      </c>
      <c r="K135" s="137">
        <v>5</v>
      </c>
      <c r="L135" s="138">
        <v>0.20833333333333334</v>
      </c>
      <c r="M135" s="119"/>
      <c r="N135" s="119"/>
      <c r="O135" s="119"/>
      <c r="P135" s="119"/>
      <c r="Q135" s="152"/>
      <c r="R135" s="119"/>
      <c r="T135" s="145"/>
      <c r="U135" s="145"/>
      <c r="V135" s="145"/>
      <c r="W135" s="145"/>
      <c r="X135" s="145"/>
      <c r="Y135" s="145"/>
      <c r="Z135" s="145"/>
      <c r="AA135" s="145"/>
      <c r="AB135" s="145"/>
      <c r="AC135" s="145"/>
    </row>
    <row r="136" spans="2:29" s="104" customFormat="1" ht="15" customHeight="1">
      <c r="B136" s="136"/>
      <c r="H136" s="104">
        <f t="shared" si="6"/>
        <v>4</v>
      </c>
      <c r="I136" s="119">
        <v>135</v>
      </c>
      <c r="J136" s="137" t="s">
        <v>351</v>
      </c>
      <c r="K136" s="137">
        <v>-1</v>
      </c>
      <c r="L136" s="138">
        <v>4.1666666666666664E-2</v>
      </c>
      <c r="M136" s="119"/>
      <c r="N136" s="119"/>
      <c r="O136" s="119"/>
      <c r="P136" s="119"/>
      <c r="Q136" s="152"/>
      <c r="R136" s="119"/>
      <c r="T136" s="145"/>
      <c r="U136" s="145"/>
      <c r="V136" s="145"/>
      <c r="W136" s="145"/>
      <c r="X136" s="145"/>
      <c r="Y136" s="145"/>
      <c r="Z136" s="145"/>
      <c r="AA136" s="145"/>
      <c r="AB136" s="145"/>
      <c r="AC136" s="145"/>
    </row>
    <row r="137" spans="2:29" s="104" customFormat="1" ht="15" customHeight="1">
      <c r="B137" s="136"/>
      <c r="H137" s="104">
        <f t="shared" si="6"/>
        <v>3</v>
      </c>
      <c r="I137" s="119">
        <v>136</v>
      </c>
      <c r="J137" s="137" t="s">
        <v>352</v>
      </c>
      <c r="K137" s="137">
        <v>-2</v>
      </c>
      <c r="L137" s="138">
        <v>8.3333333333333329E-2</v>
      </c>
      <c r="M137" s="119"/>
      <c r="N137" s="119"/>
      <c r="O137" s="119"/>
      <c r="P137" s="119"/>
      <c r="Q137" s="152"/>
      <c r="R137" s="119"/>
      <c r="T137" s="145"/>
      <c r="U137" s="145"/>
      <c r="V137" s="145"/>
      <c r="W137" s="145"/>
      <c r="X137" s="145"/>
      <c r="Y137" s="145"/>
      <c r="Z137" s="145"/>
      <c r="AA137" s="145"/>
      <c r="AB137" s="145"/>
      <c r="AC137" s="145"/>
    </row>
    <row r="138" spans="2:29" s="104" customFormat="1" ht="15" customHeight="1">
      <c r="B138" s="136"/>
      <c r="H138" s="104">
        <f t="shared" si="6"/>
        <v>14.5</v>
      </c>
      <c r="I138" s="119">
        <v>137</v>
      </c>
      <c r="J138" s="137" t="s">
        <v>353</v>
      </c>
      <c r="K138" s="137">
        <v>9.5</v>
      </c>
      <c r="L138" s="138">
        <v>0.39583333333333331</v>
      </c>
      <c r="M138" s="119"/>
      <c r="N138" s="119"/>
      <c r="O138" s="119"/>
      <c r="P138" s="119"/>
      <c r="Q138" s="152"/>
      <c r="R138" s="119"/>
      <c r="T138" s="145"/>
      <c r="U138" s="145"/>
      <c r="V138" s="145"/>
      <c r="W138" s="145"/>
      <c r="X138" s="145"/>
      <c r="Y138" s="145"/>
      <c r="Z138" s="145"/>
      <c r="AA138" s="145"/>
      <c r="AB138" s="145"/>
      <c r="AC138" s="145"/>
    </row>
    <row r="139" spans="2:29" s="104" customFormat="1" ht="15" customHeight="1">
      <c r="B139" s="136"/>
      <c r="H139" s="104">
        <f t="shared" si="6"/>
        <v>10</v>
      </c>
      <c r="I139" s="119">
        <v>138</v>
      </c>
      <c r="J139" s="137" t="s">
        <v>354</v>
      </c>
      <c r="K139" s="137">
        <v>5</v>
      </c>
      <c r="L139" s="138">
        <v>0.20833333333333334</v>
      </c>
      <c r="M139" s="119"/>
      <c r="N139" s="119"/>
      <c r="O139" s="119"/>
      <c r="P139" s="119"/>
      <c r="Q139" s="152"/>
      <c r="R139" s="119"/>
      <c r="T139" s="145"/>
      <c r="U139" s="145"/>
      <c r="V139" s="145"/>
      <c r="W139" s="145"/>
      <c r="X139" s="145"/>
      <c r="Y139" s="145"/>
      <c r="Z139" s="145"/>
      <c r="AA139" s="145"/>
      <c r="AB139" s="145"/>
      <c r="AC139" s="145"/>
    </row>
    <row r="140" spans="2:29" s="104" customFormat="1" ht="15" customHeight="1">
      <c r="B140" s="136"/>
      <c r="H140" s="104">
        <f t="shared" si="6"/>
        <v>10</v>
      </c>
      <c r="I140" s="119">
        <v>139</v>
      </c>
      <c r="J140" s="137" t="s">
        <v>355</v>
      </c>
      <c r="K140" s="137">
        <v>5</v>
      </c>
      <c r="L140" s="138">
        <v>0.20833333333333334</v>
      </c>
      <c r="M140" s="119"/>
      <c r="N140" s="119"/>
      <c r="O140" s="119"/>
      <c r="P140" s="119"/>
      <c r="Q140" s="152"/>
      <c r="R140" s="119"/>
      <c r="T140" s="145"/>
      <c r="U140" s="145"/>
      <c r="V140" s="145"/>
      <c r="W140" s="145"/>
      <c r="X140" s="145"/>
      <c r="Y140" s="145"/>
      <c r="Z140" s="145"/>
      <c r="AA140" s="145"/>
      <c r="AB140" s="145"/>
      <c r="AC140" s="145"/>
    </row>
    <row r="141" spans="2:29" ht="15" customHeight="1">
      <c r="I141" s="4"/>
      <c r="J141" s="4"/>
      <c r="K141" s="5"/>
      <c r="L141" s="4"/>
      <c r="M141" s="4"/>
      <c r="N141" s="4"/>
      <c r="O141" s="4"/>
      <c r="P141" s="119"/>
      <c r="Q141" s="152"/>
      <c r="R141" s="119"/>
    </row>
    <row r="142" spans="2:29" ht="15" customHeight="1">
      <c r="I142" s="4"/>
      <c r="J142" s="4"/>
      <c r="K142" s="5"/>
      <c r="L142" s="4"/>
      <c r="M142" s="4"/>
      <c r="N142" s="4"/>
      <c r="O142" s="4"/>
      <c r="P142" s="119"/>
      <c r="Q142" s="152"/>
      <c r="R142" s="119"/>
    </row>
    <row r="143" spans="2:29" ht="15" customHeight="1">
      <c r="I143" s="4"/>
      <c r="J143" s="4"/>
      <c r="K143" s="5"/>
      <c r="L143" s="4"/>
      <c r="M143" s="4"/>
      <c r="N143" s="4"/>
      <c r="O143" s="4"/>
      <c r="P143" s="119"/>
      <c r="Q143" s="152"/>
      <c r="R143" s="119"/>
    </row>
    <row r="144" spans="2:29" ht="15" customHeight="1">
      <c r="I144" s="4"/>
      <c r="J144" s="4"/>
      <c r="K144" s="5"/>
      <c r="L144" s="4"/>
      <c r="M144" s="4"/>
      <c r="N144" s="4"/>
      <c r="O144" s="4"/>
      <c r="P144" s="119"/>
      <c r="Q144" s="152"/>
      <c r="R144" s="119"/>
    </row>
    <row r="145" spans="9:29" ht="15" customHeight="1">
      <c r="I145" s="4"/>
      <c r="J145" s="4"/>
      <c r="K145" s="5"/>
      <c r="L145" s="4"/>
      <c r="M145" s="4"/>
      <c r="N145" s="4"/>
      <c r="O145" s="4"/>
      <c r="P145" s="119"/>
      <c r="Q145" s="152"/>
      <c r="R145" s="119"/>
    </row>
    <row r="158" spans="9:29" ht="15" customHeight="1">
      <c r="T158" s="170" t="str">
        <f>INDEX(Language!$A$1:$AX$115,MATCH("Standings",Language!$B$1:$B$115,0),MATCH(Tournament!$G$2,Language!$A$1:$AW$1,0))</f>
        <v>Tabellák</v>
      </c>
      <c r="U158" s="171"/>
      <c r="V158" s="171"/>
      <c r="W158" s="171"/>
      <c r="X158" s="171"/>
      <c r="Y158" s="171"/>
      <c r="Z158" s="171"/>
      <c r="AA158" s="171"/>
      <c r="AB158" s="171"/>
      <c r="AC158" s="172"/>
    </row>
    <row r="159" spans="9:29" ht="15" customHeight="1">
      <c r="T159" s="19"/>
      <c r="U159" s="20"/>
      <c r="V159" s="20"/>
      <c r="W159" s="20"/>
      <c r="X159" s="20"/>
      <c r="Y159" s="20"/>
      <c r="Z159" s="20"/>
      <c r="AA159" s="20"/>
      <c r="AB159" s="20"/>
      <c r="AC159" s="25"/>
    </row>
    <row r="160" spans="9:29" ht="15" customHeight="1">
      <c r="T160" s="19"/>
      <c r="U160" s="94" t="str">
        <f>INDEX(Language!$A$1:$AX$115,MATCH("Group A",Language!$B$1:$B$115,0),MATCH(Tournament!$G$2,Language!$A$1:$AW$1,0))</f>
        <v>A csoport</v>
      </c>
      <c r="V160" s="96"/>
      <c r="W160" s="96" t="s">
        <v>215</v>
      </c>
      <c r="X160" s="96" t="s">
        <v>2190</v>
      </c>
      <c r="Y160" s="96" t="s">
        <v>2191</v>
      </c>
      <c r="Z160" s="96" t="s">
        <v>2192</v>
      </c>
      <c r="AA160" s="96" t="s">
        <v>2193</v>
      </c>
      <c r="AB160" s="97" t="s">
        <v>216</v>
      </c>
      <c r="AC160" s="25"/>
    </row>
    <row r="161" spans="20:29" ht="15" customHeight="1">
      <c r="T161" s="19"/>
      <c r="U161" s="83">
        <f>VLOOKUP(V161,'Countries and Timezone'!$C$7:$F$10,4,FALSE)</f>
        <v>1</v>
      </c>
      <c r="V161" s="87" t="str">
        <f>VLOOKUP(1,'Dummy Table'!O4:P7,2,FALSE)</f>
        <v>Brazília</v>
      </c>
      <c r="W161" s="88">
        <f>SUM(X161:Z161)</f>
        <v>3</v>
      </c>
      <c r="X161" s="88">
        <f>SUMIF('Dummy Table'!B$4:B$7,'Countries and Timezone'!V161,'Dummy Table'!C$4:C$7)</f>
        <v>2</v>
      </c>
      <c r="Y161" s="88">
        <f>SUMIF('Dummy Table'!B$4:B$7,'Countries and Timezone'!V161,'Dummy Table'!D$4:D$7)</f>
        <v>1</v>
      </c>
      <c r="Z161" s="88">
        <f>SUMIF('Dummy Table'!B$4:B$7,'Countries and Timezone'!V161,'Dummy Table'!E$4:E$7)</f>
        <v>0</v>
      </c>
      <c r="AA161" s="88" t="str">
        <f>CONCATENATE(SUMIF('Dummy Table'!B$4:B$7,'Countries and Timezone'!V161,'Dummy Table'!F$4:F$7)," - ",SUMIF('Dummy Table'!B$4:B$7,'Countries and Timezone'!V161,'Dummy Table'!G$4:G$7))</f>
        <v>7 - 2</v>
      </c>
      <c r="AB161" s="89">
        <f>SUMIF('Dummy Table'!B$4:B$7,'Countries and Timezone'!V161,'Dummy Table'!I$4:I$7)</f>
        <v>7</v>
      </c>
      <c r="AC161" s="25"/>
    </row>
    <row r="162" spans="20:29" ht="15" customHeight="1">
      <c r="T162" s="19"/>
      <c r="U162" s="84">
        <f>VLOOKUP(V162,'Countries and Timezone'!$C$7:$F$10,4,FALSE)</f>
        <v>3</v>
      </c>
      <c r="V162" s="90" t="str">
        <f>VLOOKUP(2,'Dummy Table'!O4:P7,2,FALSE)</f>
        <v>Mexikó</v>
      </c>
      <c r="W162" s="21">
        <f>SUM(X162:Z162)</f>
        <v>3</v>
      </c>
      <c r="X162" s="21">
        <f>SUMIF('Dummy Table'!B$4:B$7,'Countries and Timezone'!V162,'Dummy Table'!C$4:C$7)</f>
        <v>2</v>
      </c>
      <c r="Y162" s="21">
        <f>SUMIF('Dummy Table'!B$4:B$7,'Countries and Timezone'!V162,'Dummy Table'!D$4:D$7)</f>
        <v>1</v>
      </c>
      <c r="Z162" s="21">
        <f>SUMIF('Dummy Table'!B$4:B$7,'Countries and Timezone'!V162,'Dummy Table'!E$4:E$7)</f>
        <v>0</v>
      </c>
      <c r="AA162" s="21" t="str">
        <f>CONCATENATE(SUMIF('Dummy Table'!B$4:B$7,'Countries and Timezone'!V162,'Dummy Table'!F$4:F$7)," - ",SUMIF('Dummy Table'!B$4:B$7,'Countries and Timezone'!V162,'Dummy Table'!G$4:G$7))</f>
        <v>4 - 1</v>
      </c>
      <c r="AB162" s="91">
        <f>SUMIF('Dummy Table'!B$4:B$7,'Countries and Timezone'!V162,'Dummy Table'!I$4:I$7)</f>
        <v>7</v>
      </c>
      <c r="AC162" s="25"/>
    </row>
    <row r="163" spans="20:29" ht="15" customHeight="1">
      <c r="T163" s="19"/>
      <c r="U163" s="84">
        <f>VLOOKUP(V163,'Countries and Timezone'!$C$7:$F$10,4,FALSE)</f>
        <v>2</v>
      </c>
      <c r="V163" s="90" t="str">
        <f>VLOOKUP(3,'Dummy Table'!O4:P7,2,FALSE)</f>
        <v>Horvátország</v>
      </c>
      <c r="W163" s="21">
        <f>SUM(X163:Z163)</f>
        <v>3</v>
      </c>
      <c r="X163" s="21">
        <f>SUMIF('Dummy Table'!B$4:B$7,'Countries and Timezone'!V163,'Dummy Table'!C$4:C$7)</f>
        <v>1</v>
      </c>
      <c r="Y163" s="21">
        <f>SUMIF('Dummy Table'!B$4:B$7,'Countries and Timezone'!V163,'Dummy Table'!D$4:D$7)</f>
        <v>0</v>
      </c>
      <c r="Z163" s="21">
        <f>SUMIF('Dummy Table'!B$4:B$7,'Countries and Timezone'!V163,'Dummy Table'!E$4:E$7)</f>
        <v>2</v>
      </c>
      <c r="AA163" s="21" t="str">
        <f>CONCATENATE(SUMIF('Dummy Table'!B$4:B$7,'Countries and Timezone'!V163,'Dummy Table'!F$4:F$7)," - ",SUMIF('Dummy Table'!B$4:B$7,'Countries and Timezone'!V163,'Dummy Table'!G$4:G$7))</f>
        <v>6 - 6</v>
      </c>
      <c r="AB163" s="91">
        <f>SUMIF('Dummy Table'!B$4:B$7,'Countries and Timezone'!V163,'Dummy Table'!I$4:I$7)</f>
        <v>3</v>
      </c>
      <c r="AC163" s="25"/>
    </row>
    <row r="164" spans="20:29" ht="15" customHeight="1">
      <c r="T164" s="19"/>
      <c r="U164" s="85">
        <f>VLOOKUP(V164,'Countries and Timezone'!$C$7:$F$10,4,FALSE)</f>
        <v>4</v>
      </c>
      <c r="V164" s="92" t="str">
        <f>VLOOKUP(4,'Dummy Table'!O4:P7,2,FALSE)</f>
        <v>Kamerun</v>
      </c>
      <c r="W164" s="46">
        <f>SUM(X164:Z164)</f>
        <v>3</v>
      </c>
      <c r="X164" s="46">
        <f>SUMIF('Dummy Table'!B$4:B$7,'Countries and Timezone'!V164,'Dummy Table'!C$4:C$7)</f>
        <v>0</v>
      </c>
      <c r="Y164" s="46">
        <f>SUMIF('Dummy Table'!B$4:B$7,'Countries and Timezone'!V164,'Dummy Table'!D$4:D$7)</f>
        <v>0</v>
      </c>
      <c r="Z164" s="46">
        <f>SUMIF('Dummy Table'!B$4:B$7,'Countries and Timezone'!V164,'Dummy Table'!E$4:E$7)</f>
        <v>3</v>
      </c>
      <c r="AA164" s="46" t="str">
        <f>CONCATENATE(SUMIF('Dummy Table'!B$4:B$7,'Countries and Timezone'!V164,'Dummy Table'!F$4:F$7)," - ",SUMIF('Dummy Table'!B$4:B$7,'Countries and Timezone'!V164,'Dummy Table'!G$4:G$7))</f>
        <v>1 - 9</v>
      </c>
      <c r="AB164" s="93">
        <f>SUMIF('Dummy Table'!B$4:B$7,'Countries and Timezone'!V164,'Dummy Table'!I$4:I$7)</f>
        <v>0</v>
      </c>
      <c r="AC164" s="25"/>
    </row>
    <row r="165" spans="20:29" ht="15" customHeight="1">
      <c r="T165" s="19"/>
      <c r="U165" s="86"/>
      <c r="V165" s="20"/>
      <c r="W165" s="20"/>
      <c r="X165" s="20"/>
      <c r="Y165" s="20"/>
      <c r="Z165" s="20"/>
      <c r="AA165" s="20"/>
      <c r="AB165" s="20"/>
      <c r="AC165" s="25"/>
    </row>
    <row r="166" spans="20:29" ht="15" customHeight="1">
      <c r="T166" s="19"/>
      <c r="U166" s="94" t="str">
        <f>INDEX(Language!$A$1:$AX$115,MATCH("Group B",Language!$B$1:$B$115,0),MATCH(Tournament!$G$2,Language!$A$1:$AW$1,0))</f>
        <v>B csoport</v>
      </c>
      <c r="V166" s="96"/>
      <c r="W166" s="96" t="s">
        <v>215</v>
      </c>
      <c r="X166" s="96" t="s">
        <v>2190</v>
      </c>
      <c r="Y166" s="96" t="s">
        <v>2191</v>
      </c>
      <c r="Z166" s="96" t="s">
        <v>2192</v>
      </c>
      <c r="AA166" s="96" t="s">
        <v>2193</v>
      </c>
      <c r="AB166" s="97" t="s">
        <v>216</v>
      </c>
      <c r="AC166" s="25"/>
    </row>
    <row r="167" spans="20:29" ht="15" customHeight="1">
      <c r="T167" s="19"/>
      <c r="U167" s="83">
        <f>VLOOKUP(V167,'Countries and Timezone'!$C$11:$F$14,4,FALSE)</f>
        <v>6</v>
      </c>
      <c r="V167" s="87" t="str">
        <f>VLOOKUP(1,'Dummy Table'!O11:P14,2,FALSE)</f>
        <v>Hollandia</v>
      </c>
      <c r="W167" s="88">
        <f>SUM(X167:Z167)</f>
        <v>3</v>
      </c>
      <c r="X167" s="88">
        <f>SUMIF('Dummy Table'!B$11:B$14,'Countries and Timezone'!V167,'Dummy Table'!C$11:C$14)</f>
        <v>3</v>
      </c>
      <c r="Y167" s="88">
        <f>SUMIF('Dummy Table'!B$11:B$14,'Countries and Timezone'!V167,'Dummy Table'!D$11:D$14)</f>
        <v>0</v>
      </c>
      <c r="Z167" s="88">
        <f>SUMIF('Dummy Table'!B$11:B$14,'Countries and Timezone'!V167,'Dummy Table'!E$11:E$14)</f>
        <v>0</v>
      </c>
      <c r="AA167" s="88" t="str">
        <f>CONCATENATE(SUMIF('Dummy Table'!B$11:B$14,'Countries and Timezone'!V167,'Dummy Table'!F$11:F$14)," - ",SUMIF('Dummy Table'!B$11:B$14,'Countries and Timezone'!V167,'Dummy Table'!G$11:G$14))</f>
        <v>10 - 3</v>
      </c>
      <c r="AB167" s="89">
        <f>SUMIF('Dummy Table'!B$11:B$14,'Countries and Timezone'!V167,'Dummy Table'!I$11:I$14)</f>
        <v>9</v>
      </c>
      <c r="AC167" s="25"/>
    </row>
    <row r="168" spans="20:29" ht="15" customHeight="1">
      <c r="T168" s="19"/>
      <c r="U168" s="84">
        <f>VLOOKUP(V168,'Countries and Timezone'!$C$11:$F$14,4,FALSE)</f>
        <v>7</v>
      </c>
      <c r="V168" s="90" t="str">
        <f>VLOOKUP(2,'Dummy Table'!O11:P14,2,FALSE)</f>
        <v>Chile</v>
      </c>
      <c r="W168" s="21">
        <f>SUM(X168:Z168)</f>
        <v>3</v>
      </c>
      <c r="X168" s="21">
        <f>SUMIF('Dummy Table'!B$11:B$14,'Countries and Timezone'!V168,'Dummy Table'!C$11:C$14)</f>
        <v>2</v>
      </c>
      <c r="Y168" s="21">
        <f>SUMIF('Dummy Table'!B$11:B$14,'Countries and Timezone'!V168,'Dummy Table'!D$11:D$14)</f>
        <v>0</v>
      </c>
      <c r="Z168" s="21">
        <f>SUMIF('Dummy Table'!B$11:B$14,'Countries and Timezone'!V168,'Dummy Table'!E$11:E$14)</f>
        <v>1</v>
      </c>
      <c r="AA168" s="21" t="str">
        <f>CONCATENATE(SUMIF('Dummy Table'!B$11:B$14,'Countries and Timezone'!V168,'Dummy Table'!F$11:F$14)," - ",SUMIF('Dummy Table'!B$11:B$14,'Countries and Timezone'!V168,'Dummy Table'!G$11:G$14))</f>
        <v>5 - 3</v>
      </c>
      <c r="AB168" s="91">
        <f>SUMIF('Dummy Table'!B$11:B$14,'Countries and Timezone'!V168,'Dummy Table'!I$11:I$14)</f>
        <v>6</v>
      </c>
      <c r="AC168" s="25"/>
    </row>
    <row r="169" spans="20:29" ht="15" customHeight="1">
      <c r="T169" s="19"/>
      <c r="U169" s="84">
        <f>VLOOKUP(V169,'Countries and Timezone'!$C$11:$F$14,4,FALSE)</f>
        <v>5</v>
      </c>
      <c r="V169" s="90" t="str">
        <f>VLOOKUP(3,'Dummy Table'!O11:P14,2,FALSE)</f>
        <v>Spanyolország</v>
      </c>
      <c r="W169" s="21">
        <f>SUM(X169:Z169)</f>
        <v>3</v>
      </c>
      <c r="X169" s="21">
        <f>SUMIF('Dummy Table'!B$11:B$14,'Countries and Timezone'!V169,'Dummy Table'!C$11:C$14)</f>
        <v>1</v>
      </c>
      <c r="Y169" s="21">
        <f>SUMIF('Dummy Table'!B$11:B$14,'Countries and Timezone'!V169,'Dummy Table'!D$11:D$14)</f>
        <v>0</v>
      </c>
      <c r="Z169" s="21">
        <f>SUMIF('Dummy Table'!B$11:B$14,'Countries and Timezone'!V169,'Dummy Table'!E$11:E$14)</f>
        <v>2</v>
      </c>
      <c r="AA169" s="21" t="str">
        <f>CONCATENATE(SUMIF('Dummy Table'!B$11:B$14,'Countries and Timezone'!V169,'Dummy Table'!F$11:F$14)," - ",SUMIF('Dummy Table'!B$11:B$14,'Countries and Timezone'!V169,'Dummy Table'!G$11:G$14))</f>
        <v>4 - 7</v>
      </c>
      <c r="AB169" s="91">
        <f>SUMIF('Dummy Table'!B$11:B$14,'Countries and Timezone'!V169,'Dummy Table'!I$11:I$14)</f>
        <v>3</v>
      </c>
      <c r="AC169" s="25"/>
    </row>
    <row r="170" spans="20:29" ht="15" customHeight="1">
      <c r="T170" s="19"/>
      <c r="U170" s="85">
        <f>VLOOKUP(V170,'Countries and Timezone'!$C$11:$F$14,4,FALSE)</f>
        <v>8</v>
      </c>
      <c r="V170" s="92" t="str">
        <f>VLOOKUP(4,'Dummy Table'!O11:P14,2,FALSE)</f>
        <v>Ausztrália</v>
      </c>
      <c r="W170" s="46">
        <f>SUM(X170:Z170)</f>
        <v>3</v>
      </c>
      <c r="X170" s="46">
        <f>SUMIF('Dummy Table'!B$11:B$14,'Countries and Timezone'!V170,'Dummy Table'!C$11:C$14)</f>
        <v>0</v>
      </c>
      <c r="Y170" s="46">
        <f>SUMIF('Dummy Table'!B$11:B$14,'Countries and Timezone'!V170,'Dummy Table'!D$11:D$14)</f>
        <v>0</v>
      </c>
      <c r="Z170" s="46">
        <f>SUMIF('Dummy Table'!B$11:B$14,'Countries and Timezone'!V170,'Dummy Table'!E$11:E$14)</f>
        <v>3</v>
      </c>
      <c r="AA170" s="46" t="str">
        <f>CONCATENATE(SUMIF('Dummy Table'!B$11:B$14,'Countries and Timezone'!V170,'Dummy Table'!F$11:F$14)," - ",SUMIF('Dummy Table'!B$11:B$14,'Countries and Timezone'!V170,'Dummy Table'!G$11:G$14))</f>
        <v>3 - 9</v>
      </c>
      <c r="AB170" s="93">
        <f>SUMIF('Dummy Table'!B$11:B$14,'Countries and Timezone'!V170,'Dummy Table'!I$11:I$14)</f>
        <v>0</v>
      </c>
      <c r="AC170" s="25"/>
    </row>
    <row r="171" spans="20:29" ht="15" customHeight="1">
      <c r="T171" s="19"/>
      <c r="U171" s="86"/>
      <c r="V171" s="90"/>
      <c r="W171" s="20"/>
      <c r="X171" s="20"/>
      <c r="Y171" s="20"/>
      <c r="Z171" s="20"/>
      <c r="AA171" s="20"/>
      <c r="AB171" s="20"/>
      <c r="AC171" s="25"/>
    </row>
    <row r="172" spans="20:29" ht="15" customHeight="1">
      <c r="T172" s="19"/>
      <c r="U172" s="94" t="str">
        <f>INDEX(Language!$A$1:$AX$115,MATCH("Group C",Language!$B$1:$B$115,0),MATCH(Tournament!$G$2,Language!$A$1:$AW$1,0))</f>
        <v>C csoport</v>
      </c>
      <c r="V172" s="96"/>
      <c r="W172" s="96" t="s">
        <v>215</v>
      </c>
      <c r="X172" s="96" t="s">
        <v>2190</v>
      </c>
      <c r="Y172" s="96" t="s">
        <v>2191</v>
      </c>
      <c r="Z172" s="96" t="s">
        <v>2192</v>
      </c>
      <c r="AA172" s="96" t="s">
        <v>2193</v>
      </c>
      <c r="AB172" s="97" t="s">
        <v>216</v>
      </c>
      <c r="AC172" s="25"/>
    </row>
    <row r="173" spans="20:29" ht="15" customHeight="1">
      <c r="T173" s="19"/>
      <c r="U173" s="83">
        <f>VLOOKUP(V173,'Countries and Timezone'!$C$15:$F$18,4,FALSE)</f>
        <v>9</v>
      </c>
      <c r="V173" s="87" t="str">
        <f>VLOOKUP(1,'Dummy Table'!O18:P21,2,FALSE)</f>
        <v>Colombia</v>
      </c>
      <c r="W173" s="88">
        <f>SUM(X173:Z173)</f>
        <v>3</v>
      </c>
      <c r="X173" s="88">
        <f>SUMIF('Dummy Table'!B$18:B$21,'Countries and Timezone'!V173,'Dummy Table'!C$18:C$21)</f>
        <v>3</v>
      </c>
      <c r="Y173" s="88">
        <f>SUMIF('Dummy Table'!B$18:B$21,'Countries and Timezone'!V173,'Dummy Table'!D$18:D$21)</f>
        <v>0</v>
      </c>
      <c r="Z173" s="88">
        <f>SUMIF('Dummy Table'!B$18:B$21,'Countries and Timezone'!V173,'Dummy Table'!E$18:E$21)</f>
        <v>0</v>
      </c>
      <c r="AA173" s="88" t="str">
        <f>CONCATENATE(SUMIF('Dummy Table'!B$18:B$21,'Countries and Timezone'!V173,'Dummy Table'!F$18:F$21)," - ",SUMIF('Dummy Table'!B$18:B$21,'Countries and Timezone'!V173,'Dummy Table'!G$18:G$21))</f>
        <v>9 - 2</v>
      </c>
      <c r="AB173" s="89">
        <f>SUMIF('Dummy Table'!B$18:B$21,'Countries and Timezone'!V173,'Dummy Table'!I$18:I$21)</f>
        <v>9</v>
      </c>
      <c r="AC173" s="25"/>
    </row>
    <row r="174" spans="20:29" ht="15" customHeight="1">
      <c r="T174" s="19"/>
      <c r="U174" s="84">
        <f>VLOOKUP(V174,'Countries and Timezone'!$C$15:$F$18,4,FALSE)</f>
        <v>10</v>
      </c>
      <c r="V174" s="90" t="str">
        <f>VLOOKUP(2,'Dummy Table'!O18:P21,2,FALSE)</f>
        <v>Görögország</v>
      </c>
      <c r="W174" s="21">
        <f>SUM(X174:Z174)</f>
        <v>3</v>
      </c>
      <c r="X174" s="21">
        <f>SUMIF('Dummy Table'!B$18:B$21,'Countries and Timezone'!V174,'Dummy Table'!C$18:C$21)</f>
        <v>1</v>
      </c>
      <c r="Y174" s="21">
        <f>SUMIF('Dummy Table'!B$18:B$21,'Countries and Timezone'!V174,'Dummy Table'!D$18:D$21)</f>
        <v>1</v>
      </c>
      <c r="Z174" s="21">
        <f>SUMIF('Dummy Table'!B$18:B$21,'Countries and Timezone'!V174,'Dummy Table'!E$18:E$21)</f>
        <v>1</v>
      </c>
      <c r="AA174" s="21" t="str">
        <f>CONCATENATE(SUMIF('Dummy Table'!B$18:B$21,'Countries and Timezone'!V174,'Dummy Table'!F$18:F$21)," - ",SUMIF('Dummy Table'!B$18:B$21,'Countries and Timezone'!V174,'Dummy Table'!G$18:G$21))</f>
        <v>2 - 4</v>
      </c>
      <c r="AB174" s="91">
        <f>SUMIF('Dummy Table'!B$18:B$21,'Countries and Timezone'!V174,'Dummy Table'!I$18:I$21)</f>
        <v>4</v>
      </c>
      <c r="AC174" s="25"/>
    </row>
    <row r="175" spans="20:29" ht="15" customHeight="1">
      <c r="T175" s="19"/>
      <c r="U175" s="84">
        <f>VLOOKUP(V175,'Countries and Timezone'!$C$15:$F$18,4,FALSE)</f>
        <v>11</v>
      </c>
      <c r="V175" s="90" t="str">
        <f>VLOOKUP(3,'Dummy Table'!O18:P21,2,FALSE)</f>
        <v>Elefántcsontpart</v>
      </c>
      <c r="W175" s="21">
        <f>SUM(X175:Z175)</f>
        <v>3</v>
      </c>
      <c r="X175" s="21">
        <f>SUMIF('Dummy Table'!B$18:B$21,'Countries and Timezone'!V175,'Dummy Table'!C$18:C$21)</f>
        <v>1</v>
      </c>
      <c r="Y175" s="21">
        <f>SUMIF('Dummy Table'!B$18:B$21,'Countries and Timezone'!V175,'Dummy Table'!D$18:D$21)</f>
        <v>0</v>
      </c>
      <c r="Z175" s="21">
        <f>SUMIF('Dummy Table'!B$18:B$21,'Countries and Timezone'!V175,'Dummy Table'!E$18:E$21)</f>
        <v>2</v>
      </c>
      <c r="AA175" s="21" t="str">
        <f>CONCATENATE(SUMIF('Dummy Table'!B$18:B$21,'Countries and Timezone'!V175,'Dummy Table'!F$18:F$21)," - ",SUMIF('Dummy Table'!B$18:B$21,'Countries and Timezone'!V175,'Dummy Table'!G$18:G$21))</f>
        <v>4 - 5</v>
      </c>
      <c r="AB175" s="91">
        <f>SUMIF('Dummy Table'!B$18:B$21,'Countries and Timezone'!V175,'Dummy Table'!I$18:I$21)</f>
        <v>3</v>
      </c>
      <c r="AC175" s="25"/>
    </row>
    <row r="176" spans="20:29" ht="15" customHeight="1">
      <c r="T176" s="19"/>
      <c r="U176" s="85">
        <f>VLOOKUP(V176,'Countries and Timezone'!$C$15:$F$18,4,FALSE)</f>
        <v>12</v>
      </c>
      <c r="V176" s="92" t="str">
        <f>VLOOKUP(4,'Dummy Table'!O18:P21,2,FALSE)</f>
        <v>Japán</v>
      </c>
      <c r="W176" s="46">
        <f>SUM(X176:Z176)</f>
        <v>3</v>
      </c>
      <c r="X176" s="46">
        <f>SUMIF('Dummy Table'!B$18:B$21,'Countries and Timezone'!V176,'Dummy Table'!C$18:C$21)</f>
        <v>0</v>
      </c>
      <c r="Y176" s="46">
        <f>SUMIF('Dummy Table'!B$18:B$21,'Countries and Timezone'!V176,'Dummy Table'!D$18:D$21)</f>
        <v>1</v>
      </c>
      <c r="Z176" s="46">
        <f>SUMIF('Dummy Table'!B$18:B$21,'Countries and Timezone'!V176,'Dummy Table'!E$18:E$21)</f>
        <v>2</v>
      </c>
      <c r="AA176" s="46" t="str">
        <f>CONCATENATE(SUMIF('Dummy Table'!B$18:B$21,'Countries and Timezone'!V176,'Dummy Table'!F$18:F$21)," - ",SUMIF('Dummy Table'!B$18:B$21,'Countries and Timezone'!V176,'Dummy Table'!G$18:G$21))</f>
        <v>2 - 6</v>
      </c>
      <c r="AB176" s="93">
        <f>SUMIF('Dummy Table'!B$18:B$21,'Countries and Timezone'!V176,'Dummy Table'!I$18:I$21)</f>
        <v>1</v>
      </c>
      <c r="AC176" s="25"/>
    </row>
    <row r="177" spans="20:29" ht="15" customHeight="1">
      <c r="T177" s="19"/>
      <c r="U177" s="86"/>
      <c r="V177" s="90"/>
      <c r="W177" s="20"/>
      <c r="X177" s="20"/>
      <c r="Y177" s="20"/>
      <c r="Z177" s="20"/>
      <c r="AA177" s="20"/>
      <c r="AB177" s="20"/>
      <c r="AC177" s="25"/>
    </row>
    <row r="178" spans="20:29" ht="15" customHeight="1">
      <c r="T178" s="19"/>
      <c r="U178" s="94" t="str">
        <f>INDEX(Language!$A$1:$AX$115,MATCH("Group D",Language!$B$1:$B$115,0),MATCH(Tournament!$G$2,Language!$A$1:$AW$1,0))</f>
        <v>D csoport</v>
      </c>
      <c r="V178" s="95"/>
      <c r="W178" s="96" t="s">
        <v>215</v>
      </c>
      <c r="X178" s="96" t="s">
        <v>2190</v>
      </c>
      <c r="Y178" s="96" t="s">
        <v>2191</v>
      </c>
      <c r="Z178" s="96" t="s">
        <v>2192</v>
      </c>
      <c r="AA178" s="96" t="s">
        <v>2193</v>
      </c>
      <c r="AB178" s="97" t="s">
        <v>216</v>
      </c>
      <c r="AC178" s="25"/>
    </row>
    <row r="179" spans="20:29" ht="15" customHeight="1">
      <c r="T179" s="19"/>
      <c r="U179" s="83">
        <f>VLOOKUP(V179,'Countries and Timezone'!$C$19:$F$22,4,FALSE)</f>
        <v>14</v>
      </c>
      <c r="V179" s="87" t="str">
        <f>VLOOKUP(1,'Dummy Table'!O25:P28,2,FALSE)</f>
        <v>Costa Rica</v>
      </c>
      <c r="W179" s="88">
        <f>SUM(X179:Z179)</f>
        <v>3</v>
      </c>
      <c r="X179" s="88">
        <f>SUMIF('Dummy Table'!B$25:B$28,'Countries and Timezone'!V179,'Dummy Table'!C$25:C$28)</f>
        <v>2</v>
      </c>
      <c r="Y179" s="88">
        <f>SUMIF('Dummy Table'!B$25:B$28,'Countries and Timezone'!V179,'Dummy Table'!D$25:D$28)</f>
        <v>1</v>
      </c>
      <c r="Z179" s="88">
        <f>SUMIF('Dummy Table'!B$25:B$28,'Countries and Timezone'!V179,'Dummy Table'!E$25:E$28)</f>
        <v>0</v>
      </c>
      <c r="AA179" s="88" t="str">
        <f>CONCATENATE(SUMIF('Dummy Table'!B$25:B$28,'Countries and Timezone'!V179,'Dummy Table'!F$25:F$28)," - ",SUMIF('Dummy Table'!B$25:B$28,'Countries and Timezone'!V179,'Dummy Table'!G$25:G$28))</f>
        <v>4 - 1</v>
      </c>
      <c r="AB179" s="89">
        <f>SUMIF('Dummy Table'!B$25:B$28,'Countries and Timezone'!V179,'Dummy Table'!I$25:I$28)</f>
        <v>7</v>
      </c>
      <c r="AC179" s="25"/>
    </row>
    <row r="180" spans="20:29" ht="15" customHeight="1">
      <c r="T180" s="19"/>
      <c r="U180" s="84">
        <f>VLOOKUP(V180,'Countries and Timezone'!$C$19:$F$22,4,FALSE)</f>
        <v>13</v>
      </c>
      <c r="V180" s="90" t="str">
        <f>VLOOKUP(2,'Dummy Table'!O25:P28,2,FALSE)</f>
        <v>Uruguaj</v>
      </c>
      <c r="W180" s="21">
        <f>SUM(X180:Z180)</f>
        <v>3</v>
      </c>
      <c r="X180" s="21">
        <f>SUMIF('Dummy Table'!B$25:B$28,'Countries and Timezone'!V180,'Dummy Table'!C$25:C$28)</f>
        <v>2</v>
      </c>
      <c r="Y180" s="21">
        <f>SUMIF('Dummy Table'!B$25:B$28,'Countries and Timezone'!V180,'Dummy Table'!D$25:D$28)</f>
        <v>0</v>
      </c>
      <c r="Z180" s="21">
        <f>SUMIF('Dummy Table'!B$25:B$28,'Countries and Timezone'!V180,'Dummy Table'!E$25:E$28)</f>
        <v>1</v>
      </c>
      <c r="AA180" s="21" t="str">
        <f>CONCATENATE(SUMIF('Dummy Table'!B$25:B$28,'Countries and Timezone'!V180,'Dummy Table'!F$25:F$28)," - ",SUMIF('Dummy Table'!B$25:B$28,'Countries and Timezone'!V180,'Dummy Table'!G$25:G$28))</f>
        <v>4 - 4</v>
      </c>
      <c r="AB180" s="91">
        <f>SUMIF('Dummy Table'!B$25:B$28,'Countries and Timezone'!V180,'Dummy Table'!I$25:I$28)</f>
        <v>6</v>
      </c>
      <c r="AC180" s="25"/>
    </row>
    <row r="181" spans="20:29" ht="15" customHeight="1">
      <c r="T181" s="19"/>
      <c r="U181" s="84">
        <f>VLOOKUP(V181,'Countries and Timezone'!$C$19:$F$22,4,FALSE)</f>
        <v>16</v>
      </c>
      <c r="V181" s="90" t="str">
        <f>VLOOKUP(3,'Dummy Table'!O25:P28,2,FALSE)</f>
        <v>Olaszország</v>
      </c>
      <c r="W181" s="21">
        <f>SUM(X181:Z181)</f>
        <v>3</v>
      </c>
      <c r="X181" s="21">
        <f>SUMIF('Dummy Table'!B$25:B$28,'Countries and Timezone'!V181,'Dummy Table'!C$25:C$28)</f>
        <v>1</v>
      </c>
      <c r="Y181" s="21">
        <f>SUMIF('Dummy Table'!B$25:B$28,'Countries and Timezone'!V181,'Dummy Table'!D$25:D$28)</f>
        <v>0</v>
      </c>
      <c r="Z181" s="21">
        <f>SUMIF('Dummy Table'!B$25:B$28,'Countries and Timezone'!V181,'Dummy Table'!E$25:E$28)</f>
        <v>2</v>
      </c>
      <c r="AA181" s="21" t="str">
        <f>CONCATENATE(SUMIF('Dummy Table'!B$25:B$28,'Countries and Timezone'!V181,'Dummy Table'!F$25:F$28)," - ",SUMIF('Dummy Table'!B$25:B$28,'Countries and Timezone'!V181,'Dummy Table'!G$25:G$28))</f>
        <v>2 - 3</v>
      </c>
      <c r="AB181" s="91">
        <f>SUMIF('Dummy Table'!B$25:B$28,'Countries and Timezone'!V181,'Dummy Table'!I$25:I$28)</f>
        <v>3</v>
      </c>
      <c r="AC181" s="25"/>
    </row>
    <row r="182" spans="20:29" ht="15" customHeight="1">
      <c r="T182" s="19"/>
      <c r="U182" s="85">
        <f>VLOOKUP(V182,'Countries and Timezone'!$C$19:$F$22,4,FALSE)</f>
        <v>15</v>
      </c>
      <c r="V182" s="92" t="str">
        <f>VLOOKUP(4,'Dummy Table'!O25:P28,2,FALSE)</f>
        <v>Anglia</v>
      </c>
      <c r="W182" s="46">
        <f>SUM(X182:Z182)</f>
        <v>3</v>
      </c>
      <c r="X182" s="46">
        <f>SUMIF('Dummy Table'!B$25:B$28,'Countries and Timezone'!V182,'Dummy Table'!C$25:C$28)</f>
        <v>0</v>
      </c>
      <c r="Y182" s="46">
        <f>SUMIF('Dummy Table'!B$25:B$28,'Countries and Timezone'!V182,'Dummy Table'!D$25:D$28)</f>
        <v>1</v>
      </c>
      <c r="Z182" s="46">
        <f>SUMIF('Dummy Table'!B$25:B$28,'Countries and Timezone'!V182,'Dummy Table'!E$25:E$28)</f>
        <v>2</v>
      </c>
      <c r="AA182" s="46" t="str">
        <f>CONCATENATE(SUMIF('Dummy Table'!B$25:B$28,'Countries and Timezone'!V182,'Dummy Table'!F$25:F$28)," - ",SUMIF('Dummy Table'!B$25:B$28,'Countries and Timezone'!V182,'Dummy Table'!G$25:G$28))</f>
        <v>2 - 4</v>
      </c>
      <c r="AB182" s="93">
        <f>SUMIF('Dummy Table'!B$25:B$28,'Countries and Timezone'!V182,'Dummy Table'!I$25:I$28)</f>
        <v>1</v>
      </c>
      <c r="AC182" s="25"/>
    </row>
    <row r="183" spans="20:29" ht="15" customHeight="1">
      <c r="T183" s="19"/>
      <c r="U183" s="86"/>
      <c r="V183" s="90"/>
      <c r="W183" s="20"/>
      <c r="X183" s="20"/>
      <c r="Y183" s="20"/>
      <c r="Z183" s="20"/>
      <c r="AA183" s="20"/>
      <c r="AB183" s="20"/>
      <c r="AC183" s="25"/>
    </row>
    <row r="184" spans="20:29" ht="15" customHeight="1">
      <c r="T184" s="19"/>
      <c r="U184" s="94" t="str">
        <f>INDEX(Language!$A$1:$AX$115,MATCH("Group E",Language!$B$1:$B$115,0),MATCH(Tournament!$G$2,Language!$A$1:$AW$1,0))</f>
        <v>E csoport</v>
      </c>
      <c r="V184" s="95"/>
      <c r="W184" s="96" t="s">
        <v>215</v>
      </c>
      <c r="X184" s="96" t="s">
        <v>2190</v>
      </c>
      <c r="Y184" s="96" t="s">
        <v>2191</v>
      </c>
      <c r="Z184" s="96" t="s">
        <v>2192</v>
      </c>
      <c r="AA184" s="96" t="s">
        <v>2193</v>
      </c>
      <c r="AB184" s="97" t="s">
        <v>216</v>
      </c>
      <c r="AC184" s="25"/>
    </row>
    <row r="185" spans="20:29" ht="15" customHeight="1">
      <c r="T185" s="19"/>
      <c r="U185" s="83">
        <f>VLOOKUP(V185,'Countries and Timezone'!$C$23:$F$26,4,FALSE)</f>
        <v>19</v>
      </c>
      <c r="V185" s="87" t="str">
        <f>VLOOKUP(1,'Dummy Table'!O32:P35,2,FALSE)</f>
        <v>Franciaország</v>
      </c>
      <c r="W185" s="88">
        <f>SUM(X185:Z185)</f>
        <v>3</v>
      </c>
      <c r="X185" s="88">
        <f>SUMIF('Dummy Table'!B$32:B$35,'Countries and Timezone'!V185,'Dummy Table'!C$32:C$35)</f>
        <v>2</v>
      </c>
      <c r="Y185" s="88">
        <f>SUMIF('Dummy Table'!B$32:B$35,'Countries and Timezone'!V185,'Dummy Table'!D$32:D$35)</f>
        <v>1</v>
      </c>
      <c r="Z185" s="88">
        <f>SUMIF('Dummy Table'!B$32:B$35,'Countries and Timezone'!V185,'Dummy Table'!E$32:E$35)</f>
        <v>0</v>
      </c>
      <c r="AA185" s="88" t="str">
        <f>CONCATENATE(SUMIF('Dummy Table'!B$32:B$35,'Countries and Timezone'!V185,'Dummy Table'!F$32:F$35)," - ",SUMIF('Dummy Table'!B$32:B$35,'Countries and Timezone'!V185,'Dummy Table'!G$32:G$35))</f>
        <v>8 - 2</v>
      </c>
      <c r="AB185" s="89">
        <f>SUMIF('Dummy Table'!B$32:B$35,'Countries and Timezone'!V185,'Dummy Table'!I$32:I$35)</f>
        <v>7</v>
      </c>
      <c r="AC185" s="25"/>
    </row>
    <row r="186" spans="20:29" ht="15" customHeight="1">
      <c r="T186" s="19"/>
      <c r="U186" s="84">
        <f>VLOOKUP(V186,'Countries and Timezone'!$C$23:$F$26,4,FALSE)</f>
        <v>17</v>
      </c>
      <c r="V186" s="90" t="str">
        <f>VLOOKUP(2,'Dummy Table'!O32:P35,2,FALSE)</f>
        <v>Svájc</v>
      </c>
      <c r="W186" s="21">
        <f>SUM(X186:Z186)</f>
        <v>3</v>
      </c>
      <c r="X186" s="21">
        <f>SUMIF('Dummy Table'!B$32:B$35,'Countries and Timezone'!V186,'Dummy Table'!C$32:C$35)</f>
        <v>2</v>
      </c>
      <c r="Y186" s="21">
        <f>SUMIF('Dummy Table'!B$32:B$35,'Countries and Timezone'!V186,'Dummy Table'!D$32:D$35)</f>
        <v>0</v>
      </c>
      <c r="Z186" s="21">
        <f>SUMIF('Dummy Table'!B$32:B$35,'Countries and Timezone'!V186,'Dummy Table'!E$32:E$35)</f>
        <v>1</v>
      </c>
      <c r="AA186" s="21" t="str">
        <f>CONCATENATE(SUMIF('Dummy Table'!B$32:B$35,'Countries and Timezone'!V186,'Dummy Table'!F$32:F$35)," - ",SUMIF('Dummy Table'!B$32:B$35,'Countries and Timezone'!V186,'Dummy Table'!G$32:G$35))</f>
        <v>7 - 6</v>
      </c>
      <c r="AB186" s="91">
        <f>SUMIF('Dummy Table'!B$32:B$35,'Countries and Timezone'!V186,'Dummy Table'!I$32:I$35)</f>
        <v>6</v>
      </c>
      <c r="AC186" s="25"/>
    </row>
    <row r="187" spans="20:29" ht="15" customHeight="1">
      <c r="T187" s="19"/>
      <c r="U187" s="84">
        <f>VLOOKUP(V187,'Countries and Timezone'!$C$23:$F$26,4,FALSE)</f>
        <v>18</v>
      </c>
      <c r="V187" s="90" t="str">
        <f>VLOOKUP(3,'Dummy Table'!O32:P35,2,FALSE)</f>
        <v>Ecuador</v>
      </c>
      <c r="W187" s="21">
        <f>SUM(X187:Z187)</f>
        <v>3</v>
      </c>
      <c r="X187" s="21">
        <f>SUMIF('Dummy Table'!B$32:B$35,'Countries and Timezone'!V187,'Dummy Table'!C$32:C$35)</f>
        <v>1</v>
      </c>
      <c r="Y187" s="21">
        <f>SUMIF('Dummy Table'!B$32:B$35,'Countries and Timezone'!V187,'Dummy Table'!D$32:D$35)</f>
        <v>1</v>
      </c>
      <c r="Z187" s="21">
        <f>SUMIF('Dummy Table'!B$32:B$35,'Countries and Timezone'!V187,'Dummy Table'!E$32:E$35)</f>
        <v>1</v>
      </c>
      <c r="AA187" s="21" t="str">
        <f>CONCATENATE(SUMIF('Dummy Table'!B$32:B$35,'Countries and Timezone'!V187,'Dummy Table'!F$32:F$35)," - ",SUMIF('Dummy Table'!B$32:B$35,'Countries and Timezone'!V187,'Dummy Table'!G$32:G$35))</f>
        <v>3 - 3</v>
      </c>
      <c r="AB187" s="91">
        <f>SUMIF('Dummy Table'!B$32:B$35,'Countries and Timezone'!V187,'Dummy Table'!I$32:I$35)</f>
        <v>4</v>
      </c>
      <c r="AC187" s="25"/>
    </row>
    <row r="188" spans="20:29" ht="15" customHeight="1">
      <c r="T188" s="19"/>
      <c r="U188" s="85">
        <f>VLOOKUP(V188,'Countries and Timezone'!$C$23:$F$26,4,FALSE)</f>
        <v>20</v>
      </c>
      <c r="V188" s="92" t="str">
        <f>VLOOKUP(4,'Dummy Table'!O32:P35,2,FALSE)</f>
        <v>Hondurasz</v>
      </c>
      <c r="W188" s="46">
        <f>SUM(X188:Z188)</f>
        <v>3</v>
      </c>
      <c r="X188" s="46">
        <f>SUMIF('Dummy Table'!B$32:B$35,'Countries and Timezone'!V188,'Dummy Table'!C$32:C$35)</f>
        <v>0</v>
      </c>
      <c r="Y188" s="46">
        <f>SUMIF('Dummy Table'!B$32:B$35,'Countries and Timezone'!V188,'Dummy Table'!D$32:D$35)</f>
        <v>0</v>
      </c>
      <c r="Z188" s="46">
        <f>SUMIF('Dummy Table'!B$32:B$35,'Countries and Timezone'!V188,'Dummy Table'!E$32:E$35)</f>
        <v>3</v>
      </c>
      <c r="AA188" s="46" t="str">
        <f>CONCATENATE(SUMIF('Dummy Table'!B$32:B$35,'Countries and Timezone'!V188,'Dummy Table'!F$32:F$35)," - ",SUMIF('Dummy Table'!B$32:B$35,'Countries and Timezone'!V188,'Dummy Table'!G$32:G$35))</f>
        <v>1 - 8</v>
      </c>
      <c r="AB188" s="93">
        <f>SUMIF('Dummy Table'!B$32:B$35,'Countries and Timezone'!V188,'Dummy Table'!I$32:I$35)</f>
        <v>0</v>
      </c>
      <c r="AC188" s="25"/>
    </row>
    <row r="189" spans="20:29" ht="15" customHeight="1">
      <c r="T189" s="19"/>
      <c r="U189" s="86"/>
      <c r="V189" s="90"/>
      <c r="W189" s="20"/>
      <c r="X189" s="20"/>
      <c r="Y189" s="20"/>
      <c r="Z189" s="20"/>
      <c r="AA189" s="20"/>
      <c r="AB189" s="20"/>
      <c r="AC189" s="25"/>
    </row>
    <row r="190" spans="20:29" ht="15" customHeight="1">
      <c r="T190" s="19"/>
      <c r="U190" s="94" t="str">
        <f>INDEX(Language!$A$1:$AX$115,MATCH("Group F",Language!$B$1:$B$115,0),MATCH(Tournament!$G$2,Language!$A$1:$AW$1,0))</f>
        <v>F csoport</v>
      </c>
      <c r="V190" s="95"/>
      <c r="W190" s="96" t="s">
        <v>215</v>
      </c>
      <c r="X190" s="96" t="s">
        <v>2190</v>
      </c>
      <c r="Y190" s="96" t="s">
        <v>2191</v>
      </c>
      <c r="Z190" s="96" t="s">
        <v>2192</v>
      </c>
      <c r="AA190" s="96" t="s">
        <v>2193</v>
      </c>
      <c r="AB190" s="97" t="s">
        <v>216</v>
      </c>
      <c r="AC190" s="25"/>
    </row>
    <row r="191" spans="20:29" ht="15" customHeight="1">
      <c r="T191" s="19"/>
      <c r="U191" s="83">
        <f>VLOOKUP(V191,'Countries and Timezone'!$C$27:$F$30,4,FALSE)</f>
        <v>21</v>
      </c>
      <c r="V191" s="87" t="str">
        <f>VLOOKUP(1,'Dummy Table'!O39:P42,2,FALSE)</f>
        <v>Argentína</v>
      </c>
      <c r="W191" s="88">
        <f>SUM(X191:Z191)</f>
        <v>3</v>
      </c>
      <c r="X191" s="88">
        <f>SUMIF('Dummy Table'!B$39:B$42,'Countries and Timezone'!V191,'Dummy Table'!C$39:C$42)</f>
        <v>3</v>
      </c>
      <c r="Y191" s="88">
        <f>SUMIF('Dummy Table'!B$39:B$42,'Countries and Timezone'!V191,'Dummy Table'!D$39:D$42)</f>
        <v>0</v>
      </c>
      <c r="Z191" s="88">
        <f>SUMIF('Dummy Table'!B$39:B$42,'Countries and Timezone'!V191,'Dummy Table'!E$39:E$42)</f>
        <v>0</v>
      </c>
      <c r="AA191" s="88" t="str">
        <f>CONCATENATE(SUMIF('Dummy Table'!B$39:B$42,'Countries and Timezone'!V191,'Dummy Table'!F$39:F$42)," - ",SUMIF('Dummy Table'!B$39:B$42,'Countries and Timezone'!V191,'Dummy Table'!G$39:G$42))</f>
        <v>6 - 3</v>
      </c>
      <c r="AB191" s="89">
        <f>SUMIF('Dummy Table'!B$39:B$42,'Countries and Timezone'!V191,'Dummy Table'!I$39:I$42)</f>
        <v>9</v>
      </c>
      <c r="AC191" s="25"/>
    </row>
    <row r="192" spans="20:29" ht="15" customHeight="1">
      <c r="T192" s="19"/>
      <c r="U192" s="84">
        <f>VLOOKUP(V192,'Countries and Timezone'!$C$27:$F$30,4,FALSE)</f>
        <v>24</v>
      </c>
      <c r="V192" s="90" t="str">
        <f>VLOOKUP(2,'Dummy Table'!O39:P42,2,FALSE)</f>
        <v>Nigéria</v>
      </c>
      <c r="W192" s="21">
        <f>SUM(X192:Z192)</f>
        <v>3</v>
      </c>
      <c r="X192" s="21">
        <f>SUMIF('Dummy Table'!B$39:B$42,'Countries and Timezone'!V192,'Dummy Table'!C$39:C$42)</f>
        <v>1</v>
      </c>
      <c r="Y192" s="21">
        <f>SUMIF('Dummy Table'!B$39:B$42,'Countries and Timezone'!V192,'Dummy Table'!D$39:D$42)</f>
        <v>1</v>
      </c>
      <c r="Z192" s="21">
        <f>SUMIF('Dummy Table'!B$39:B$42,'Countries and Timezone'!V192,'Dummy Table'!E$39:E$42)</f>
        <v>1</v>
      </c>
      <c r="AA192" s="21" t="str">
        <f>CONCATENATE(SUMIF('Dummy Table'!B$39:B$42,'Countries and Timezone'!V192,'Dummy Table'!F$39:F$42)," - ",SUMIF('Dummy Table'!B$39:B$42,'Countries and Timezone'!V192,'Dummy Table'!G$39:G$42))</f>
        <v>3 - 3</v>
      </c>
      <c r="AB192" s="91">
        <f>SUMIF('Dummy Table'!B$39:B$42,'Countries and Timezone'!V192,'Dummy Table'!I$39:I$42)</f>
        <v>4</v>
      </c>
      <c r="AC192" s="25"/>
    </row>
    <row r="193" spans="20:29" ht="15" customHeight="1">
      <c r="T193" s="19"/>
      <c r="U193" s="84">
        <f>VLOOKUP(V193,'Countries and Timezone'!$C$27:$F$30,4,FALSE)</f>
        <v>22</v>
      </c>
      <c r="V193" s="90" t="str">
        <f>VLOOKUP(3,'Dummy Table'!O39:P42,2,FALSE)</f>
        <v>Bosznia-Hercegovina</v>
      </c>
      <c r="W193" s="21">
        <f>SUM(X193:Z193)</f>
        <v>3</v>
      </c>
      <c r="X193" s="21">
        <f>SUMIF('Dummy Table'!B$39:B$42,'Countries and Timezone'!V193,'Dummy Table'!C$39:C$42)</f>
        <v>1</v>
      </c>
      <c r="Y193" s="21">
        <f>SUMIF('Dummy Table'!B$39:B$42,'Countries and Timezone'!V193,'Dummy Table'!D$39:D$42)</f>
        <v>0</v>
      </c>
      <c r="Z193" s="21">
        <f>SUMIF('Dummy Table'!B$39:B$42,'Countries and Timezone'!V193,'Dummy Table'!E$39:E$42)</f>
        <v>2</v>
      </c>
      <c r="AA193" s="21" t="str">
        <f>CONCATENATE(SUMIF('Dummy Table'!B$39:B$42,'Countries and Timezone'!V193,'Dummy Table'!F$39:F$42)," - ",SUMIF('Dummy Table'!B$39:B$42,'Countries and Timezone'!V193,'Dummy Table'!G$39:G$42))</f>
        <v>4 - 4</v>
      </c>
      <c r="AB193" s="91">
        <f>SUMIF('Dummy Table'!B$39:B$42,'Countries and Timezone'!V193,'Dummy Table'!I$39:I$42)</f>
        <v>3</v>
      </c>
      <c r="AC193" s="25"/>
    </row>
    <row r="194" spans="20:29" ht="15" customHeight="1">
      <c r="T194" s="19"/>
      <c r="U194" s="85">
        <f>VLOOKUP(V194,'Countries and Timezone'!$C$27:$F$30,4,FALSE)</f>
        <v>23</v>
      </c>
      <c r="V194" s="92" t="str">
        <f>VLOOKUP(4,'Dummy Table'!O39:P42,2,FALSE)</f>
        <v>Irán</v>
      </c>
      <c r="W194" s="46">
        <f>SUM(X194:Z194)</f>
        <v>3</v>
      </c>
      <c r="X194" s="46">
        <f>SUMIF('Dummy Table'!B$39:B$42,'Countries and Timezone'!V194,'Dummy Table'!C$39:C$42)</f>
        <v>0</v>
      </c>
      <c r="Y194" s="46">
        <f>SUMIF('Dummy Table'!B$39:B$42,'Countries and Timezone'!V194,'Dummy Table'!D$39:D$42)</f>
        <v>1</v>
      </c>
      <c r="Z194" s="46">
        <f>SUMIF('Dummy Table'!B$39:B$42,'Countries and Timezone'!V194,'Dummy Table'!E$39:E$42)</f>
        <v>2</v>
      </c>
      <c r="AA194" s="46" t="str">
        <f>CONCATENATE(SUMIF('Dummy Table'!B$39:B$42,'Countries and Timezone'!V194,'Dummy Table'!F$39:F$42)," - ",SUMIF('Dummy Table'!B$39:B$42,'Countries and Timezone'!V194,'Dummy Table'!G$39:G$42))</f>
        <v>1 - 4</v>
      </c>
      <c r="AB194" s="93">
        <f>SUMIF('Dummy Table'!B$39:B$42,'Countries and Timezone'!V194,'Dummy Table'!I$39:I$42)</f>
        <v>1</v>
      </c>
      <c r="AC194" s="25"/>
    </row>
    <row r="195" spans="20:29" ht="15" customHeight="1">
      <c r="T195" s="19"/>
      <c r="U195" s="86"/>
      <c r="V195" s="90"/>
      <c r="W195" s="20"/>
      <c r="X195" s="20"/>
      <c r="Y195" s="20"/>
      <c r="Z195" s="20"/>
      <c r="AA195" s="20"/>
      <c r="AB195" s="20"/>
      <c r="AC195" s="25"/>
    </row>
    <row r="196" spans="20:29" ht="15" customHeight="1">
      <c r="T196" s="19"/>
      <c r="U196" s="94" t="str">
        <f>INDEX(Language!$A$1:$AX$115,MATCH("Group G",Language!$B$1:$B$115,0),MATCH(Tournament!$G$2,Language!$A$1:$AW$1,0))</f>
        <v>G csoport</v>
      </c>
      <c r="V196" s="95"/>
      <c r="W196" s="96" t="s">
        <v>215</v>
      </c>
      <c r="X196" s="96" t="s">
        <v>2190</v>
      </c>
      <c r="Y196" s="96" t="s">
        <v>2191</v>
      </c>
      <c r="Z196" s="96" t="s">
        <v>2192</v>
      </c>
      <c r="AA196" s="96" t="s">
        <v>2193</v>
      </c>
      <c r="AB196" s="97" t="s">
        <v>216</v>
      </c>
      <c r="AC196" s="25"/>
    </row>
    <row r="197" spans="20:29" ht="15" customHeight="1">
      <c r="T197" s="19"/>
      <c r="U197" s="83">
        <f>VLOOKUP(V197,'Countries and Timezone'!$C$31:$F$34,4,FALSE)</f>
        <v>27</v>
      </c>
      <c r="V197" s="87" t="str">
        <f>VLOOKUP(1,'Dummy Table'!O46:P49,2,FALSE)</f>
        <v>Németország</v>
      </c>
      <c r="W197" s="88">
        <f>SUM(X197:Z197)</f>
        <v>3</v>
      </c>
      <c r="X197" s="88">
        <f>SUMIF('Dummy Table'!B$46:B$49,'Countries and Timezone'!V197,'Dummy Table'!C$46:C$49)</f>
        <v>2</v>
      </c>
      <c r="Y197" s="88">
        <f>SUMIF('Dummy Table'!B$46:B$49,'Countries and Timezone'!V197,'Dummy Table'!D$46:D$49)</f>
        <v>1</v>
      </c>
      <c r="Z197" s="88">
        <f>SUMIF('Dummy Table'!B$46:B$49,'Countries and Timezone'!V197,'Dummy Table'!E$46:E$49)</f>
        <v>0</v>
      </c>
      <c r="AA197" s="88" t="str">
        <f>CONCATENATE(SUMIF('Dummy Table'!B$46:B$49,'Countries and Timezone'!V197,'Dummy Table'!F$46:F$49)," - ",SUMIF('Dummy Table'!B$46:B$49,'Countries and Timezone'!V197,'Dummy Table'!G$46:G$49))</f>
        <v>7 - 2</v>
      </c>
      <c r="AB197" s="89">
        <f>SUMIF('Dummy Table'!B$46:B$49,'Countries and Timezone'!V197,'Dummy Table'!I$46:I$49)</f>
        <v>7</v>
      </c>
      <c r="AC197" s="25"/>
    </row>
    <row r="198" spans="20:29" ht="15" customHeight="1">
      <c r="T198" s="19"/>
      <c r="U198" s="84">
        <f>VLOOKUP(V198,'Countries and Timezone'!$C$31:$F$34,4,FALSE)</f>
        <v>26</v>
      </c>
      <c r="V198" s="90" t="str">
        <f>VLOOKUP(2,'Dummy Table'!O46:P49,2,FALSE)</f>
        <v>Egyesült Államok</v>
      </c>
      <c r="W198" s="21">
        <f>SUM(X198:Z198)</f>
        <v>3</v>
      </c>
      <c r="X198" s="21">
        <f>SUMIF('Dummy Table'!B$46:B$49,'Countries and Timezone'!V198,'Dummy Table'!C$46:C$49)</f>
        <v>1</v>
      </c>
      <c r="Y198" s="21">
        <f>SUMIF('Dummy Table'!B$46:B$49,'Countries and Timezone'!V198,'Dummy Table'!D$46:D$49)</f>
        <v>1</v>
      </c>
      <c r="Z198" s="21">
        <f>SUMIF('Dummy Table'!B$46:B$49,'Countries and Timezone'!V198,'Dummy Table'!E$46:E$49)</f>
        <v>1</v>
      </c>
      <c r="AA198" s="21" t="str">
        <f>CONCATENATE(SUMIF('Dummy Table'!B$46:B$49,'Countries and Timezone'!V198,'Dummy Table'!F$46:F$49)," - ",SUMIF('Dummy Table'!B$46:B$49,'Countries and Timezone'!V198,'Dummy Table'!G$46:G$49))</f>
        <v>4 - 4</v>
      </c>
      <c r="AB198" s="91">
        <f>SUMIF('Dummy Table'!B$46:B$49,'Countries and Timezone'!V198,'Dummy Table'!I$46:I$49)</f>
        <v>4</v>
      </c>
      <c r="AC198" s="25"/>
    </row>
    <row r="199" spans="20:29" ht="15" customHeight="1">
      <c r="T199" s="19"/>
      <c r="U199" s="84">
        <f>VLOOKUP(V199,'Countries and Timezone'!$C$31:$F$34,4,FALSE)</f>
        <v>28</v>
      </c>
      <c r="V199" s="90" t="str">
        <f>VLOOKUP(3,'Dummy Table'!O46:P49,2,FALSE)</f>
        <v>Portugália</v>
      </c>
      <c r="W199" s="21">
        <f>SUM(X199:Z199)</f>
        <v>3</v>
      </c>
      <c r="X199" s="21">
        <f>SUMIF('Dummy Table'!B$46:B$49,'Countries and Timezone'!V199,'Dummy Table'!C$46:C$49)</f>
        <v>1</v>
      </c>
      <c r="Y199" s="21">
        <f>SUMIF('Dummy Table'!B$46:B$49,'Countries and Timezone'!V199,'Dummy Table'!D$46:D$49)</f>
        <v>1</v>
      </c>
      <c r="Z199" s="21">
        <f>SUMIF('Dummy Table'!B$46:B$49,'Countries and Timezone'!V199,'Dummy Table'!E$46:E$49)</f>
        <v>1</v>
      </c>
      <c r="AA199" s="21" t="str">
        <f>CONCATENATE(SUMIF('Dummy Table'!B$46:B$49,'Countries and Timezone'!V199,'Dummy Table'!F$46:F$49)," - ",SUMIF('Dummy Table'!B$46:B$49,'Countries and Timezone'!V199,'Dummy Table'!G$46:G$49))</f>
        <v>4 - 7</v>
      </c>
      <c r="AB199" s="91">
        <f>SUMIF('Dummy Table'!B$46:B$49,'Countries and Timezone'!V199,'Dummy Table'!I$46:I$49)</f>
        <v>4</v>
      </c>
      <c r="AC199" s="25"/>
    </row>
    <row r="200" spans="20:29" ht="15" customHeight="1">
      <c r="T200" s="19"/>
      <c r="U200" s="85">
        <f>VLOOKUP(V200,'Countries and Timezone'!$C$31:$F$34,4,FALSE)</f>
        <v>25</v>
      </c>
      <c r="V200" s="92" t="str">
        <f>VLOOKUP(4,'Dummy Table'!O46:P49,2,FALSE)</f>
        <v>Ghána</v>
      </c>
      <c r="W200" s="46">
        <f>SUM(X200:Z200)</f>
        <v>3</v>
      </c>
      <c r="X200" s="46">
        <f>SUMIF('Dummy Table'!B$46:B$49,'Countries and Timezone'!V200,'Dummy Table'!C$46:C$49)</f>
        <v>0</v>
      </c>
      <c r="Y200" s="46">
        <f>SUMIF('Dummy Table'!B$46:B$49,'Countries and Timezone'!V200,'Dummy Table'!D$46:D$49)</f>
        <v>1</v>
      </c>
      <c r="Z200" s="46">
        <f>SUMIF('Dummy Table'!B$46:B$49,'Countries and Timezone'!V200,'Dummy Table'!E$46:E$49)</f>
        <v>2</v>
      </c>
      <c r="AA200" s="46" t="str">
        <f>CONCATENATE(SUMIF('Dummy Table'!B$46:B$49,'Countries and Timezone'!V200,'Dummy Table'!F$46:F$49)," - ",SUMIF('Dummy Table'!B$46:B$49,'Countries and Timezone'!V200,'Dummy Table'!G$46:G$49))</f>
        <v>4 - 6</v>
      </c>
      <c r="AB200" s="93">
        <f>SUMIF('Dummy Table'!B$46:B$49,'Countries and Timezone'!V200,'Dummy Table'!I$46:I$49)</f>
        <v>1</v>
      </c>
      <c r="AC200" s="25"/>
    </row>
    <row r="201" spans="20:29" ht="15" customHeight="1">
      <c r="T201" s="19"/>
      <c r="U201" s="86"/>
      <c r="V201" s="90"/>
      <c r="W201" s="20"/>
      <c r="X201" s="20"/>
      <c r="Y201" s="20"/>
      <c r="Z201" s="20"/>
      <c r="AA201" s="20"/>
      <c r="AB201" s="20"/>
      <c r="AC201" s="25"/>
    </row>
    <row r="202" spans="20:29" ht="15" customHeight="1">
      <c r="T202" s="19"/>
      <c r="U202" s="94" t="str">
        <f>INDEX(Language!$A$1:$AX$115,MATCH("Group H",Language!$B$1:$B$115,0),MATCH(Tournament!$G$2,Language!$A$1:$AW$1,0))</f>
        <v>H csoport</v>
      </c>
      <c r="V202" s="95"/>
      <c r="W202" s="96" t="s">
        <v>215</v>
      </c>
      <c r="X202" s="96" t="s">
        <v>2190</v>
      </c>
      <c r="Y202" s="96" t="s">
        <v>2191</v>
      </c>
      <c r="Z202" s="96" t="s">
        <v>2192</v>
      </c>
      <c r="AA202" s="96" t="s">
        <v>2193</v>
      </c>
      <c r="AB202" s="97" t="s">
        <v>216</v>
      </c>
      <c r="AC202" s="25"/>
    </row>
    <row r="203" spans="20:29" ht="15" customHeight="1">
      <c r="T203" s="19"/>
      <c r="U203" s="83">
        <f>VLOOKUP(V203,'Countries and Timezone'!$C$35:$F$38,4,FALSE)</f>
        <v>31</v>
      </c>
      <c r="V203" s="87" t="str">
        <f>VLOOKUP(1,'Dummy Table'!O53:P56,2,FALSE)</f>
        <v>Belgium</v>
      </c>
      <c r="W203" s="88">
        <f>SUM(X203:Z203)</f>
        <v>3</v>
      </c>
      <c r="X203" s="88">
        <f>SUMIF('Dummy Table'!B$53:B$56,'Countries and Timezone'!V203,'Dummy Table'!C$53:C$56)</f>
        <v>3</v>
      </c>
      <c r="Y203" s="88">
        <f>SUMIF('Dummy Table'!B$53:B$56,'Countries and Timezone'!V203,'Dummy Table'!D$53:D$56)</f>
        <v>0</v>
      </c>
      <c r="Z203" s="88">
        <f>SUMIF('Dummy Table'!B$53:B$56,'Countries and Timezone'!V203,'Dummy Table'!E$53:E$56)</f>
        <v>0</v>
      </c>
      <c r="AA203" s="88" t="str">
        <f>CONCATENATE(SUMIF('Dummy Table'!B$53:B$56,'Countries and Timezone'!V203,'Dummy Table'!F$53:F$56)," - ",SUMIF('Dummy Table'!B$53:B$56,'Countries and Timezone'!V203,'Dummy Table'!G$53:G$56))</f>
        <v>4 - 1</v>
      </c>
      <c r="AB203" s="89">
        <f>SUMIF('Dummy Table'!B$53:B$56,'Countries and Timezone'!V203,'Dummy Table'!I$53:I$56)</f>
        <v>9</v>
      </c>
      <c r="AC203" s="25"/>
    </row>
    <row r="204" spans="20:29" ht="15" customHeight="1">
      <c r="T204" s="19"/>
      <c r="U204" s="84">
        <f>VLOOKUP(V204,'Countries and Timezone'!$C$35:$F$38,4,FALSE)</f>
        <v>32</v>
      </c>
      <c r="V204" s="90" t="str">
        <f>VLOOKUP(2,'Dummy Table'!O53:P56,2,FALSE)</f>
        <v>Algéria</v>
      </c>
      <c r="W204" s="21">
        <f>SUM(X204:Z204)</f>
        <v>3</v>
      </c>
      <c r="X204" s="21">
        <f>SUMIF('Dummy Table'!B$53:B$56,'Countries and Timezone'!V204,'Dummy Table'!C$53:C$56)</f>
        <v>1</v>
      </c>
      <c r="Y204" s="21">
        <f>SUMIF('Dummy Table'!B$53:B$56,'Countries and Timezone'!V204,'Dummy Table'!D$53:D$56)</f>
        <v>1</v>
      </c>
      <c r="Z204" s="21">
        <f>SUMIF('Dummy Table'!B$53:B$56,'Countries and Timezone'!V204,'Dummy Table'!E$53:E$56)</f>
        <v>1</v>
      </c>
      <c r="AA204" s="21" t="str">
        <f>CONCATENATE(SUMIF('Dummy Table'!B$53:B$56,'Countries and Timezone'!V204,'Dummy Table'!F$53:F$56)," - ",SUMIF('Dummy Table'!B$53:B$56,'Countries and Timezone'!V204,'Dummy Table'!G$53:G$56))</f>
        <v>6 - 5</v>
      </c>
      <c r="AB204" s="91">
        <f>SUMIF('Dummy Table'!B$53:B$56,'Countries and Timezone'!V204,'Dummy Table'!I$53:I$56)</f>
        <v>4</v>
      </c>
      <c r="AC204" s="25"/>
    </row>
    <row r="205" spans="20:29" ht="15" customHeight="1">
      <c r="T205" s="19"/>
      <c r="U205" s="84">
        <f>VLOOKUP(V205,'Countries and Timezone'!$C$35:$F$38,4,FALSE)</f>
        <v>29</v>
      </c>
      <c r="V205" s="90" t="str">
        <f>VLOOKUP(3,'Dummy Table'!O53:P56,2,FALSE)</f>
        <v>Oroszország</v>
      </c>
      <c r="W205" s="21">
        <f>SUM(X205:Z205)</f>
        <v>3</v>
      </c>
      <c r="X205" s="21">
        <f>SUMIF('Dummy Table'!B$53:B$56,'Countries and Timezone'!V205,'Dummy Table'!C$53:C$56)</f>
        <v>0</v>
      </c>
      <c r="Y205" s="21">
        <f>SUMIF('Dummy Table'!B$53:B$56,'Countries and Timezone'!V205,'Dummy Table'!D$53:D$56)</f>
        <v>2</v>
      </c>
      <c r="Z205" s="21">
        <f>SUMIF('Dummy Table'!B$53:B$56,'Countries and Timezone'!V205,'Dummy Table'!E$53:E$56)</f>
        <v>1</v>
      </c>
      <c r="AA205" s="21" t="str">
        <f>CONCATENATE(SUMIF('Dummy Table'!B$53:B$56,'Countries and Timezone'!V205,'Dummy Table'!F$53:F$56)," - ",SUMIF('Dummy Table'!B$53:B$56,'Countries and Timezone'!V205,'Dummy Table'!G$53:G$56))</f>
        <v>2 - 3</v>
      </c>
      <c r="AB205" s="91">
        <f>SUMIF('Dummy Table'!B$53:B$56,'Countries and Timezone'!V205,'Dummy Table'!I$53:I$56)</f>
        <v>2</v>
      </c>
      <c r="AC205" s="25"/>
    </row>
    <row r="206" spans="20:29" ht="15" customHeight="1">
      <c r="T206" s="19"/>
      <c r="U206" s="85">
        <f>VLOOKUP(V206,'Countries and Timezone'!$C$35:$F$38,4,FALSE)</f>
        <v>30</v>
      </c>
      <c r="V206" s="92" t="str">
        <f>VLOOKUP(4,'Dummy Table'!O53:P56,2,FALSE)</f>
        <v>Dél-Kórea</v>
      </c>
      <c r="W206" s="46">
        <f>SUM(X206:Z206)</f>
        <v>3</v>
      </c>
      <c r="X206" s="46">
        <f>SUMIF('Dummy Table'!B$53:B$56,'Countries and Timezone'!V206,'Dummy Table'!C$53:C$56)</f>
        <v>0</v>
      </c>
      <c r="Y206" s="46">
        <f>SUMIF('Dummy Table'!B$53:B$56,'Countries and Timezone'!V206,'Dummy Table'!D$53:D$56)</f>
        <v>1</v>
      </c>
      <c r="Z206" s="46">
        <f>SUMIF('Dummy Table'!B$53:B$56,'Countries and Timezone'!V206,'Dummy Table'!E$53:E$56)</f>
        <v>2</v>
      </c>
      <c r="AA206" s="46" t="str">
        <f>CONCATENATE(SUMIF('Dummy Table'!B$53:B$56,'Countries and Timezone'!V206,'Dummy Table'!F$53:F$56)," - ",SUMIF('Dummy Table'!B$53:B$56,'Countries and Timezone'!V206,'Dummy Table'!G$53:G$56))</f>
        <v>3 - 6</v>
      </c>
      <c r="AB206" s="93">
        <f>SUMIF('Dummy Table'!B$53:B$56,'Countries and Timezone'!V206,'Dummy Table'!I$53:I$56)</f>
        <v>1</v>
      </c>
      <c r="AC206" s="25"/>
    </row>
    <row r="207" spans="20:29" ht="15" customHeight="1">
      <c r="T207" s="44"/>
      <c r="U207" s="45"/>
      <c r="V207" s="45"/>
      <c r="W207" s="45"/>
      <c r="X207" s="45"/>
      <c r="Y207" s="45"/>
      <c r="Z207" s="45"/>
      <c r="AA207" s="45"/>
      <c r="AB207" s="45"/>
      <c r="AC207" s="47"/>
    </row>
  </sheetData>
  <sheetProtection password="CE4F" sheet="1" objects="1" scenarios="1" selectLockedCells="1" selectUnlockedCells="1"/>
  <mergeCells count="9">
    <mergeCell ref="A7:A10"/>
    <mergeCell ref="A11:A14"/>
    <mergeCell ref="A15:A18"/>
    <mergeCell ref="A19:A22"/>
    <mergeCell ref="T158:AC158"/>
    <mergeCell ref="A23:A26"/>
    <mergeCell ref="A27:A30"/>
    <mergeCell ref="A31:A34"/>
    <mergeCell ref="A35:A38"/>
  </mergeCells>
  <phoneticPr fontId="1" type="noConversion"/>
  <conditionalFormatting sqref="V161:V162">
    <cfRule type="expression" dxfId="3" priority="1" stopIfTrue="1">
      <formula>$W$161+$W$162+$W$163+$W$164=12</formula>
    </cfRule>
  </conditionalFormatting>
  <conditionalFormatting sqref="V167:V168">
    <cfRule type="expression" dxfId="2" priority="2" stopIfTrue="1">
      <formula>$W$167+$W$168+$W$169+$W$170=12</formula>
    </cfRule>
  </conditionalFormatting>
  <conditionalFormatting sqref="V173:V174">
    <cfRule type="expression" dxfId="1" priority="3" stopIfTrue="1">
      <formula>$W$173+$W$174+$W$175+$W$176=12</formula>
    </cfRule>
  </conditionalFormatting>
  <conditionalFormatting sqref="V179:V180 V185:V186 V191:V192 V197:V198 V203:V204">
    <cfRule type="expression" dxfId="0" priority="4" stopIfTrue="1">
      <formula>$W$179+$W$180+$W$181+$W$182=12</formula>
    </cfRule>
  </conditionalFormatting>
  <pageMargins left="0.75" right="0.75" top="1" bottom="1" header="0.5" footer="0.5"/>
  <pageSetup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
  <sheetViews>
    <sheetView showGridLines="0" workbookViewId="0">
      <selection activeCell="W42" sqref="W42"/>
    </sheetView>
  </sheetViews>
  <sheetFormatPr defaultColWidth="9.140625" defaultRowHeight="12.75"/>
  <cols>
    <col min="1" max="1" width="5.28515625" style="118" customWidth="1"/>
    <col min="2" max="2" width="9.42578125" style="118" bestFit="1" customWidth="1"/>
    <col min="3" max="3" width="3.28515625" style="118" bestFit="1" customWidth="1"/>
    <col min="4" max="4" width="2.7109375" style="118" bestFit="1" customWidth="1"/>
    <col min="5" max="5" width="2.42578125" style="118" bestFit="1" customWidth="1"/>
    <col min="6" max="7" width="3.28515625" style="118" bestFit="1" customWidth="1"/>
    <col min="8" max="8" width="4.7109375" style="118" bestFit="1" customWidth="1"/>
    <col min="9" max="9" width="3.42578125" style="118" bestFit="1" customWidth="1"/>
    <col min="10" max="10" width="3.28515625" style="118" bestFit="1" customWidth="1"/>
    <col min="11" max="11" width="2.140625" style="118" bestFit="1" customWidth="1"/>
    <col min="12" max="12" width="2.7109375" style="118" customWidth="1"/>
    <col min="13" max="14" width="2.140625" style="118" bestFit="1" customWidth="1"/>
    <col min="15" max="15" width="5.85546875" style="118" bestFit="1" customWidth="1"/>
    <col min="16" max="16" width="9.85546875" style="118" bestFit="1" customWidth="1"/>
    <col min="17" max="17" width="3.28515625" style="118" bestFit="1" customWidth="1"/>
    <col min="18" max="18" width="4.7109375" style="118" bestFit="1" customWidth="1"/>
    <col min="19" max="20" width="2.5703125" style="118" bestFit="1" customWidth="1"/>
    <col min="21" max="21" width="2.7109375" style="118" bestFit="1" customWidth="1"/>
    <col min="22" max="22" width="4.7109375" style="118" bestFit="1" customWidth="1"/>
    <col min="23" max="23" width="9.140625" style="118"/>
    <col min="24" max="24" width="6.5703125" style="118" customWidth="1"/>
    <col min="25" max="25" width="9.140625" style="118"/>
    <col min="26" max="26" width="3.28515625" style="118" bestFit="1" customWidth="1"/>
    <col min="27" max="27" width="2.7109375" style="118" bestFit="1" customWidth="1"/>
    <col min="28" max="28" width="2.42578125" style="118" bestFit="1" customWidth="1"/>
    <col min="29" max="29" width="2.5703125" style="118" bestFit="1" customWidth="1"/>
    <col min="30" max="30" width="2.7109375" style="118" bestFit="1" customWidth="1"/>
    <col min="31" max="31" width="4.7109375" style="118" bestFit="1" customWidth="1"/>
    <col min="32" max="32" width="3.42578125" style="118" bestFit="1" customWidth="1"/>
    <col min="33" max="35" width="2.140625" style="118" bestFit="1" customWidth="1"/>
    <col min="36" max="37" width="5.85546875" style="118" bestFit="1" customWidth="1"/>
    <col min="38" max="39" width="2.140625" style="118" bestFit="1" customWidth="1"/>
    <col min="40" max="40" width="11.85546875" style="118" bestFit="1" customWidth="1"/>
    <col min="41" max="41" width="9.140625" style="118"/>
    <col min="42" max="42" width="8.85546875" style="118" bestFit="1" customWidth="1"/>
    <col min="43" max="43" width="10.140625" style="118" bestFit="1" customWidth="1"/>
    <col min="44" max="44" width="9.7109375" style="118" bestFit="1" customWidth="1"/>
    <col min="45" max="45" width="9.7109375" style="118" customWidth="1"/>
    <col min="46" max="46" width="9.85546875" style="118" bestFit="1" customWidth="1"/>
    <col min="47" max="47" width="11.140625" style="118" bestFit="1" customWidth="1"/>
    <col min="48" max="48" width="10.7109375" style="118" bestFit="1" customWidth="1"/>
    <col min="49" max="49" width="10.7109375" style="118" customWidth="1"/>
    <col min="50" max="16384" width="9.140625" style="118"/>
  </cols>
  <sheetData>
    <row r="1" spans="1:61">
      <c r="A1" s="117"/>
      <c r="B1" s="117"/>
      <c r="C1" s="117"/>
      <c r="D1" s="117"/>
      <c r="E1" s="117"/>
      <c r="F1" s="117"/>
      <c r="G1" s="117"/>
      <c r="H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O1" s="117"/>
      <c r="AY1" s="117"/>
      <c r="BE1" s="117"/>
    </row>
    <row r="2" spans="1:6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row>
    <row r="3" spans="1:61">
      <c r="I3" s="117"/>
      <c r="K3" s="117"/>
      <c r="L3" s="117"/>
      <c r="M3" s="117"/>
      <c r="N3" s="117"/>
      <c r="AO3" s="117"/>
      <c r="BE3" s="118">
        <v>1</v>
      </c>
      <c r="BF3" s="118" t="str">
        <f>Tournament!H14</f>
        <v>Brazília</v>
      </c>
      <c r="BG3" s="118">
        <f>IF(AND(Tournament!J14&lt;&gt;"",Tournament!L14&lt;&gt;""),Tournament!J14,"")</f>
        <v>3</v>
      </c>
      <c r="BH3" s="118">
        <f>IF(AND(Tournament!L14&lt;&gt;"",Tournament!J14&lt;&gt;""),Tournament!L14,"")</f>
        <v>1</v>
      </c>
      <c r="BI3" s="118" t="str">
        <f>Tournament!N14</f>
        <v>Horvátország</v>
      </c>
    </row>
    <row r="4" spans="1:61">
      <c r="A4" s="118">
        <f>K4+L4+M4+N4</f>
        <v>1</v>
      </c>
      <c r="B4" s="118" t="str">
        <f>Tournament!H14</f>
        <v>Brazília</v>
      </c>
      <c r="C4" s="118">
        <f>SUMIF(AP$4:AP$60,B4,AX$4:AX$60)+SUMIF(AT$4:AT$60,B4,AX$4:AX$60)</f>
        <v>2</v>
      </c>
      <c r="D4" s="118">
        <f>SUMIF(AQ$4:AQ$60,B4,AX$4:AX$60)+SUMIF(AU$4:AU$60,B4,AX$4:AX$60)</f>
        <v>1</v>
      </c>
      <c r="E4" s="118">
        <f>SUMIF(AR$4:AR$60,B4,AX$4:AX$60)+SUMIF(AV$4:AV$60,B4,AX$4:AX$60)</f>
        <v>0</v>
      </c>
      <c r="F4" s="118">
        <f>SUMIF($BF$3:$BF$60,B4,$BG$3:$BG$60)+SUMIF($BI$3:$BI$60,B4,$BH$3:$BH$60)</f>
        <v>7</v>
      </c>
      <c r="G4" s="118">
        <f>SUMIF($BI$3:$BI$60,B4,$BG$3:$BG$60)+SUMIF($BF$3:$BF$60,B4,$BH$3:$BH$60)</f>
        <v>2</v>
      </c>
      <c r="H4" s="118">
        <f>F4-G4+100</f>
        <v>105</v>
      </c>
      <c r="I4" s="117">
        <f>C4*3+D4</f>
        <v>7</v>
      </c>
      <c r="J4" s="118">
        <v>11</v>
      </c>
      <c r="K4" s="118">
        <f>RANK(I4,I$4:I$7)</f>
        <v>1</v>
      </c>
      <c r="L4" s="118">
        <f>SUMPRODUCT((I$4:I$7=I4)*(H$4:H$7&gt;H4))</f>
        <v>0</v>
      </c>
      <c r="M4" s="118">
        <f>SUMPRODUCT((I$4:I$7=I4)*(H$4:H$7=H4)*(F$4:F$7&gt;F4))</f>
        <v>0</v>
      </c>
      <c r="N4" s="118">
        <f>SUMPRODUCT((I$4:I$7=I4)*(H$4:H$7=H4)*(F$4:F$7=F4)*(J$4:J$7&lt;J4))</f>
        <v>0</v>
      </c>
      <c r="O4" s="118">
        <f>IF(SUM(AG4:AI7)=0,IF(COUNTIF(AJ4:AJ7,0)&gt;1,1,AJ4+1),X4)</f>
        <v>1</v>
      </c>
      <c r="P4" s="118" t="str">
        <f>VLOOKUP(1,A$4:B$7,2,FALSE)</f>
        <v>Brazília</v>
      </c>
      <c r="Q4" s="118">
        <f>SUMIF(B$4:B$60,P4,F$4:F$60)</f>
        <v>7</v>
      </c>
      <c r="R4" s="118">
        <f>SUMIF(B$4:B$60,P4,H$4:H$60)</f>
        <v>105</v>
      </c>
      <c r="S4" s="117">
        <f>SUMIF($B$4:$B$60,$P4,I$4:I$60)</f>
        <v>7</v>
      </c>
      <c r="T4" s="118">
        <f>SUMIF($B$4:$B$60,$P4,A$4:A$60)</f>
        <v>1</v>
      </c>
      <c r="U4" s="118">
        <f t="shared" ref="U4:V7" si="0">SUMIF($B$4:$B$60,$P4,L$4:L$60)</f>
        <v>0</v>
      </c>
      <c r="V4" s="118">
        <f t="shared" si="0"/>
        <v>0</v>
      </c>
      <c r="W4" s="118">
        <f>SUMIF($B$4:$B$60,$P4,J$4:J$60)</f>
        <v>11</v>
      </c>
      <c r="X4" s="118">
        <f>IF(Y4=0,T4,T4+AG4+AH4+AI4+AJ4)</f>
        <v>1</v>
      </c>
      <c r="Y4" s="118">
        <f>IF(AND(S4=S5,R4=R5,Q4=Q5),P4,0)</f>
        <v>0</v>
      </c>
      <c r="Z4" s="118">
        <f>SUMIF($AY$4:$AY$60,$Y4,$AX$4:$AX$60)+SUMIF($BB$4:$BB$60,$Y4,$AX$4:$AX$60)</f>
        <v>0</v>
      </c>
      <c r="AA4" s="118">
        <f>SUMIF($AZ$4:$AZ$60,$Y4,$AX$4:$AX$60)+SUMIF($BC$4:$BC$60,$Y4,$AX$4:$AX$60)</f>
        <v>0</v>
      </c>
      <c r="AB4" s="118">
        <f>SUMIF($BA$4:$BA$60,$Y4,$AX$4:$AX$60)+SUMIF($BD$4:$BD$60,$Y4,$AX$4:$AX$60)</f>
        <v>0</v>
      </c>
      <c r="AC4" s="118">
        <f>SUMIF(AY$4:AY$60,Y4,AS$4:AS$60)+SUMIF(BB$4:BB$60,Y4,AW$4:AW$60)+SUMIF(AZ$4:AZ$60,Y4,AS$4:AS$60)+SUMIF(BC$4:BC$60,Y4,AW$4:AW$60)</f>
        <v>0</v>
      </c>
      <c r="AD4" s="118">
        <f>SUMIF(BA$4:BA$60,Y4,AS$4:AS$60)+SUMIF(BD$4:BD$60,Y4,AW$4:AW$60)+SUMIF(AZ$4:AZ$60,Y4,AS$4:AS$60)+SUMIF(BC$4:BC$60,Y4,AW$4:AW$60)</f>
        <v>0</v>
      </c>
      <c r="AE4" s="118">
        <f>AC4-AD4+100</f>
        <v>100</v>
      </c>
      <c r="AF4" s="117" t="str">
        <f>IF(Y4&lt;&gt;0,Z4*3+AA4,"")</f>
        <v/>
      </c>
      <c r="AG4" s="118">
        <f>IF(Y4&lt;&gt;0,RANK(AF4,AF$4:AF$7)-1,5)</f>
        <v>5</v>
      </c>
      <c r="AH4" s="118">
        <f>IF(Y4&lt;&gt;0,SUMPRODUCT((AF$4:AF$7=AF4)*(AE$4:AE$7&gt;AE4)),5)</f>
        <v>5</v>
      </c>
      <c r="AI4" s="118">
        <f>IF(Y4&lt;&gt;0,SUMPRODUCT(($AF$4:$AF$7=AF4)*($AE$4:$AE$7=AE4)*($AC$4:$AC$7&gt;AC4)),5)</f>
        <v>5</v>
      </c>
      <c r="AJ4" s="118">
        <f>IF(Y4&lt;&gt;0,SUMPRODUCT(($AF4:$AF7=AF4)*($AE4:$AE7=AE4)*($AC4:$AC7=AC4)*($AK4:$AK7&lt;AK4)),5)</f>
        <v>5</v>
      </c>
      <c r="AK4" s="118">
        <f>IF(AL4=0,0,VLOOKUP(Y4,Tournament!AE$13:AF$16,2,FALSE))</f>
        <v>0</v>
      </c>
      <c r="AL4" s="118">
        <f>IF(Y4&lt;&gt;0,IF(SUM(AG4:AI4)=SUM(AG5:AI5),1,0),0)</f>
        <v>0</v>
      </c>
      <c r="AM4" s="118">
        <f>IF(AN4&lt;&gt;0,1,0)</f>
        <v>0</v>
      </c>
      <c r="AN4" s="118">
        <f>IF(AL4=1,Y4,0)</f>
        <v>0</v>
      </c>
      <c r="AO4" s="118">
        <v>1</v>
      </c>
      <c r="AP4" s="118" t="str">
        <f>IF(AND(Tournament!J14&lt;&gt;"",Tournament!L14&lt;&gt;""),IF(Tournament!J14&gt;Tournament!L14,Tournament!H14,""),"")</f>
        <v>Brazília</v>
      </c>
      <c r="AQ4" s="118" t="str">
        <f>IF(AND(Tournament!J14&lt;&gt;"",Tournament!L14&lt;&gt;""),IF(Tournament!J14=Tournament!L14,Tournament!H14,""),"")</f>
        <v/>
      </c>
      <c r="AR4" s="118" t="str">
        <f>IF(AND(Tournament!J14&lt;&gt;"",Tournament!L14&lt;&gt;""),IF(Tournament!J14&gt;Tournament!L14,Tournament!N14,""),"")</f>
        <v>Horvátország</v>
      </c>
      <c r="AS4" s="118">
        <f>IF(AND(Tournament!J14&lt;&gt;"",Tournament!L14&lt;&gt;""),Tournament!J14,0)</f>
        <v>3</v>
      </c>
      <c r="AT4" s="118" t="str">
        <f>IF(AND(Tournament!J14&lt;&gt;"",Tournament!L14&lt;&gt;""),IF(Tournament!J14&lt;Tournament!L14,Tournament!N14,""),"")</f>
        <v/>
      </c>
      <c r="AU4" s="118" t="str">
        <f>IF(AND(Tournament!J14&lt;&gt;"",Tournament!L14&lt;&gt;""),IF(Tournament!J14=Tournament!L14,Tournament!N14,""),"")</f>
        <v/>
      </c>
      <c r="AV4" s="118" t="str">
        <f>IF(AND(Tournament!J14&lt;&gt;"",Tournament!L14&lt;&gt;""),IF(Tournament!J14&lt;Tournament!L14,Tournament!H14,""),"")</f>
        <v/>
      </c>
      <c r="AW4" s="118">
        <f>IF(AND(Tournament!J14&lt;&gt;"",Tournament!L14&lt;&gt;""),Tournament!L14,0)</f>
        <v>1</v>
      </c>
      <c r="AX4" s="118">
        <v>1</v>
      </c>
      <c r="AY4" s="118" t="str">
        <f>IF(AND(COUNTIF($Y$4:$Y$60,AP4)=1,COUNTIF($Y$4:$Y$60,AR4)=1),AP4,"")</f>
        <v/>
      </c>
      <c r="AZ4" s="118" t="str">
        <f>IF(AND(COUNTIF($Y$4:$Y$60,AQ4)=1,COUNTIF($Y$4:$Y$60,AU4)=1),AQ4,"")</f>
        <v/>
      </c>
      <c r="BA4" s="118" t="str">
        <f>IF(AND(COUNTIF($Y$4:$Y$60,AR4)=1,COUNTIF($Y$4:$Y$60,AP4)=1),AR4,"")</f>
        <v/>
      </c>
      <c r="BB4" s="118" t="str">
        <f>IF(AND(COUNTIF($Y$4:$Y$60,AT4)=1,COUNTIF($Y$4:$Y$60,AV4)=1),AT4,"")</f>
        <v/>
      </c>
      <c r="BC4" s="118" t="str">
        <f>IF(AND(COUNTIF($Y$4:$Y$60,AU4)=1,COUNTIF($Y$4:$Y$60,AQ4)=1),AU4,"")</f>
        <v/>
      </c>
      <c r="BD4" s="118" t="str">
        <f>IF(AND(COUNTIF($Y$4:$Y$60,AV4)=1,COUNTIF($Y$4:$Y$60,AT4)=1),AV4,"")</f>
        <v/>
      </c>
      <c r="BE4" s="118">
        <v>2</v>
      </c>
      <c r="BF4" s="118" t="str">
        <f>Tournament!H15</f>
        <v>Mexikó</v>
      </c>
      <c r="BG4" s="118">
        <f>IF(AND(Tournament!J15&lt;&gt;"",Tournament!L15&lt;&gt;""),Tournament!J15,"")</f>
        <v>1</v>
      </c>
      <c r="BH4" s="118">
        <f>IF(AND(Tournament!L15&lt;&gt;"",Tournament!J15&lt;&gt;""),Tournament!L15,"")</f>
        <v>0</v>
      </c>
      <c r="BI4" s="118" t="str">
        <f>Tournament!N15</f>
        <v>Kamerun</v>
      </c>
    </row>
    <row r="5" spans="1:61">
      <c r="A5" s="118">
        <f>K5+L5+M5+N5</f>
        <v>3</v>
      </c>
      <c r="B5" s="118" t="str">
        <f>Tournament!N14</f>
        <v>Horvátország</v>
      </c>
      <c r="C5" s="118">
        <f>SUMIF(AP$4:AP$60,B5,AX$4:AX$60)+SUMIF(AT$4:AT$60,B5,AX$4:AX$60)</f>
        <v>1</v>
      </c>
      <c r="D5" s="118">
        <f>SUMIF(AQ$4:AQ$60,B5,AX$4:AX$60)+SUMIF(AU$4:AU$60,B5,AX$4:AX$60)</f>
        <v>0</v>
      </c>
      <c r="E5" s="118">
        <f>SUMIF(AR$4:AR$60,B5,AX$4:AX$60)+SUMIF(AV$4:AV$60,B5,AX$4:AX$60)</f>
        <v>2</v>
      </c>
      <c r="F5" s="118">
        <f>SUMIF($BF$3:$BF$60,B5,$BG$3:$BG$60)+SUMIF($BI$3:$BI$60,B5,$BH$3:$BH$60)</f>
        <v>6</v>
      </c>
      <c r="G5" s="118">
        <f>SUMIF($BI$3:$BI$60,B5,$BG$3:$BG$60)+SUMIF($BF$3:$BF$60,B5,$BH$3:$BH$60)</f>
        <v>6</v>
      </c>
      <c r="H5" s="118">
        <f>F5-G5+100</f>
        <v>100</v>
      </c>
      <c r="I5" s="117">
        <f>C5*3+D5</f>
        <v>3</v>
      </c>
      <c r="J5" s="118">
        <v>18</v>
      </c>
      <c r="K5" s="118">
        <f>RANK(I5,I$4:I$7)</f>
        <v>3</v>
      </c>
      <c r="L5" s="118">
        <f>SUMPRODUCT((I$4:I$7=I5)*(H$4:H$7&gt;H5))</f>
        <v>0</v>
      </c>
      <c r="M5" s="118">
        <f>SUMPRODUCT((I$4:I$7=I5)*(H$4:H$7=H5)*(F$4:F$7&gt;F5))</f>
        <v>0</v>
      </c>
      <c r="N5" s="118">
        <f>SUMPRODUCT((I$4:I$7=I5)*(H$4:H$7=H5)*(F$4:F$7=F5)*(J$4:J$7&lt;J5))</f>
        <v>0</v>
      </c>
      <c r="O5" s="118">
        <f>IF(SUM(AG4:AI7)=0,IF(COUNTIF(AJ4:AJ7,0)&gt;1,2,AJ5+1),IF(AND(X4=1,X5=3,Y4&lt;&gt;0,Y5&lt;&gt;0,Y6=0,Y7=0),2,IF(AND(X4=2,X5=2,Y4&lt;&gt;0,Y5&lt;&gt;0,Y6=0,Y7=0),1,X5)))</f>
        <v>2</v>
      </c>
      <c r="P5" s="118" t="str">
        <f>VLOOKUP(2,A$4:B$7,2,FALSE)</f>
        <v>Mexikó</v>
      </c>
      <c r="Q5" s="118">
        <f>SUMIF(B$4:B$60,P5,F$4:F$60)</f>
        <v>4</v>
      </c>
      <c r="R5" s="118">
        <f>SUMIF(B$4:B$60,P5,H$4:H$60)</f>
        <v>103</v>
      </c>
      <c r="S5" s="117">
        <f>SUMIF($B$4:$B$60,$P5,I$4:I$60)</f>
        <v>7</v>
      </c>
      <c r="T5" s="118">
        <f>SUMIF($B$4:$B$60,$P5,A$4:A$60)</f>
        <v>2</v>
      </c>
      <c r="U5" s="118">
        <f t="shared" si="0"/>
        <v>1</v>
      </c>
      <c r="V5" s="118">
        <f t="shared" si="0"/>
        <v>0</v>
      </c>
      <c r="W5" s="118">
        <f>SUMIF($B$4:$B$60,$P5,J$4:J$60)</f>
        <v>23</v>
      </c>
      <c r="X5" s="118">
        <f>IF(Y5=0,T5,T5+AG5+AH5+AI5+AJ5)</f>
        <v>2</v>
      </c>
      <c r="Y5" s="118">
        <f>IF(OR(AND(S4=S5,R4=R5,Q4=Q5),AND(S6=S5,R6=R5,Q6=Q5)),P5,0)</f>
        <v>0</v>
      </c>
      <c r="Z5" s="118">
        <f>SUMIF($AY$4:$AY$60,$Y5,$AX$4:$AX$60)+SUMIF($BB$4:$BB$60,$Y5,$AX$4:$AX$60)</f>
        <v>0</v>
      </c>
      <c r="AA5" s="118">
        <f>SUMIF($AZ$4:$AZ$60,$Y5,$AX$4:$AX$60)+SUMIF($BC$4:$BC$60,$Y5,$AX$4:$AX$60)</f>
        <v>0</v>
      </c>
      <c r="AB5" s="118">
        <f>SUMIF($BA$4:$BA$60,$Y5,$AX$4:$AX$60)+SUMIF($BD$4:$BD$60,$Y5,$AX$4:$AX$60)</f>
        <v>0</v>
      </c>
      <c r="AC5" s="118">
        <f>SUMIF(AY$4:AY$60,Y5,AS$4:AS$60)+SUMIF(BB$4:BB$60,Y5,AW$4:AW$60)+SUMIF(AZ$4:AZ$60,Y5,AS$4:AS$60)+SUMIF(BC$4:BC$60,Y5,AW$4:AW$60)</f>
        <v>0</v>
      </c>
      <c r="AD5" s="118">
        <f>SUMIF(BA$4:BA$60,Y5,AS$4:AS$60)+SUMIF(BD$4:BD$60,Y5,AW$4:AW$60)+SUMIF(AZ$4:AZ$60,Y5,AS$4:AS$60)+SUMIF(BC$4:BC$60,Y5,AW$4:AW$60)</f>
        <v>0</v>
      </c>
      <c r="AE5" s="118">
        <f>AC5-AD5+100</f>
        <v>100</v>
      </c>
      <c r="AF5" s="117" t="str">
        <f>IF(Y5&lt;&gt;0,Z5*3+AA5,"")</f>
        <v/>
      </c>
      <c r="AG5" s="118">
        <f>IF(Y5&lt;&gt;0,RANK(AF5,AF$4:AF$7)-1,5)</f>
        <v>5</v>
      </c>
      <c r="AH5" s="118">
        <f>IF(Y5&lt;&gt;0,SUMPRODUCT((AF$4:AF$7=AF5)*(AE$4:AE$7&gt;AE5)),5)</f>
        <v>5</v>
      </c>
      <c r="AI5" s="118">
        <f>IF(Y5&lt;&gt;0,SUMPRODUCT(($AF$4:$AF$7=AF5)*($AE$4:$AE$7=AE5)*($AC$4:$AC$7&gt;AC5)),5)</f>
        <v>5</v>
      </c>
      <c r="AJ5" s="118">
        <f>IF(Y5&lt;&gt;0,SUMPRODUCT(($AF4:$AF7=AF5)*($AE4:$AE7=AE5)*($AC4:$AC7=AC5)*($AK4:$AK7&lt;AK5)),5)</f>
        <v>5</v>
      </c>
      <c r="AK5" s="118">
        <f>IF(AL5=0,0,VLOOKUP(Y5,Tournament!AE$13:AF$16,2,FALSE))</f>
        <v>0</v>
      </c>
      <c r="AL5" s="118">
        <f>IF(Y5&lt;&gt;0,IF(OR(SUM(AG5:AI5)=SUM(AG4:AI4),SUM(AG5:AI5)=SUM(AG6:AI6)),1,0),0)</f>
        <v>0</v>
      </c>
      <c r="AM5" s="118">
        <f>IF(AN5&lt;&gt;0,AM4+1,AM4)</f>
        <v>0</v>
      </c>
      <c r="AN5" s="118">
        <f>IF(AL5=1,Y5,0)</f>
        <v>0</v>
      </c>
      <c r="AO5" s="118">
        <v>2</v>
      </c>
      <c r="AP5" s="118" t="str">
        <f>IF(AND(Tournament!J15&lt;&gt;"",Tournament!L15&lt;&gt;""),IF(Tournament!J15&gt;Tournament!L15,Tournament!H15,""),"")</f>
        <v>Mexikó</v>
      </c>
      <c r="AQ5" s="118" t="str">
        <f>IF(AND(Tournament!J15&lt;&gt;"",Tournament!L15&lt;&gt;""),IF(Tournament!J15=Tournament!L15,Tournament!H15,""),"")</f>
        <v/>
      </c>
      <c r="AR5" s="118" t="str">
        <f>IF(AND(Tournament!J15&lt;&gt;"",Tournament!L15&lt;&gt;""),IF(Tournament!J15&gt;Tournament!L15,Tournament!N15,""),"")</f>
        <v>Kamerun</v>
      </c>
      <c r="AS5" s="118">
        <f>IF(AND(Tournament!J15&lt;&gt;"",Tournament!L15&lt;&gt;""),Tournament!J15,0)</f>
        <v>1</v>
      </c>
      <c r="AT5" s="118" t="str">
        <f>IF(AND(Tournament!J15&lt;&gt;"",Tournament!L15&lt;&gt;""),IF(Tournament!J15&lt;Tournament!L15,Tournament!N15,""),"")</f>
        <v/>
      </c>
      <c r="AU5" s="118" t="str">
        <f>IF(AND(Tournament!J15&lt;&gt;"",Tournament!L15&lt;&gt;""),IF(Tournament!J15=Tournament!L15,Tournament!N15,""),"")</f>
        <v/>
      </c>
      <c r="AV5" s="118" t="str">
        <f>IF(AND(Tournament!J15&lt;&gt;"",Tournament!L15&lt;&gt;""),IF(Tournament!J15&lt;Tournament!L15,Tournament!H15,""),"")</f>
        <v/>
      </c>
      <c r="AW5" s="118">
        <f>IF(AND(Tournament!J15&lt;&gt;"",Tournament!L15&lt;&gt;""),Tournament!L15,0)</f>
        <v>0</v>
      </c>
      <c r="AX5" s="118">
        <v>1</v>
      </c>
      <c r="AY5" s="118" t="str">
        <f t="shared" ref="AY5:AY51" si="1">IF(AND(COUNTIF($Y$4:$Y$60,AP5)=1,COUNTIF($Y$4:$Y$60,AR5)=1),AP5,"")</f>
        <v/>
      </c>
      <c r="AZ5" s="118" t="str">
        <f t="shared" ref="AZ5:AZ51" si="2">IF(AND(COUNTIF($Y$4:$Y$60,AQ5)=1,COUNTIF($Y$4:$Y$60,AU5)=1),AQ5,"")</f>
        <v/>
      </c>
      <c r="BA5" s="118" t="str">
        <f t="shared" ref="BA5:BA51" si="3">IF(AND(COUNTIF($Y$4:$Y$60,AR5)=1,COUNTIF($Y$4:$Y$60,AP5)=1),AR5,"")</f>
        <v/>
      </c>
      <c r="BB5" s="118" t="str">
        <f t="shared" ref="BB5:BB51" si="4">IF(AND(COUNTIF($Y$4:$Y$60,AT5)=1,COUNTIF($Y$4:$Y$60,AV5)=1),AT5,"")</f>
        <v/>
      </c>
      <c r="BC5" s="118" t="str">
        <f t="shared" ref="BC5:BC51" si="5">IF(AND(COUNTIF($Y$4:$Y$60,AU5)=1,COUNTIF($Y$4:$Y$60,AQ5)=1),AU5,"")</f>
        <v/>
      </c>
      <c r="BD5" s="118" t="str">
        <f t="shared" ref="BD5:BD51" si="6">IF(AND(COUNTIF($Y$4:$Y$60,AV5)=1,COUNTIF($Y$4:$Y$60,AT5)=1),AV5,"")</f>
        <v/>
      </c>
      <c r="BE5" s="118">
        <v>3</v>
      </c>
      <c r="BF5" s="118" t="str">
        <f>Tournament!H16</f>
        <v>Spanyolország</v>
      </c>
      <c r="BG5" s="118">
        <f>IF(AND(Tournament!J16&lt;&gt;"",Tournament!L16&lt;&gt;""),Tournament!J16,"")</f>
        <v>1</v>
      </c>
      <c r="BH5" s="118">
        <f>IF(AND(Tournament!L16&lt;&gt;"",Tournament!J16&lt;&gt;""),Tournament!L16,"")</f>
        <v>5</v>
      </c>
      <c r="BI5" s="118" t="str">
        <f>Tournament!N16</f>
        <v>Hollandia</v>
      </c>
    </row>
    <row r="6" spans="1:61">
      <c r="A6" s="118">
        <f>K6+L6+M6+N6</f>
        <v>2</v>
      </c>
      <c r="B6" s="118" t="str">
        <f>Tournament!H15</f>
        <v>Mexikó</v>
      </c>
      <c r="C6" s="118">
        <f>SUMIF(AP$4:AP$60,B6,AX$4:AX$60)+SUMIF(AT$4:AT$60,B6,AX$4:AX$60)</f>
        <v>2</v>
      </c>
      <c r="D6" s="118">
        <f>SUMIF(AQ$4:AQ$60,B6,AX$4:AX$60)+SUMIF(AU$4:AU$60,B6,AX$4:AX$60)</f>
        <v>1</v>
      </c>
      <c r="E6" s="118">
        <f>SUMIF(AR$4:AR$60,B6,AX$4:AX$60)+SUMIF(AV$4:AV$60,B6,AX$4:AX$60)</f>
        <v>0</v>
      </c>
      <c r="F6" s="118">
        <f>SUMIF($BF$3:$BF$60,B6,$BG$3:$BG$60)+SUMIF($BI$3:$BI$60,B6,$BH$3:$BH$60)</f>
        <v>4</v>
      </c>
      <c r="G6" s="118">
        <f>SUMIF($BI$3:$BI$60,B6,$BG$3:$BG$60)+SUMIF($BF$3:$BF$60,B6,$BH$3:$BH$60)</f>
        <v>1</v>
      </c>
      <c r="H6" s="118">
        <f>F6-G6+100</f>
        <v>103</v>
      </c>
      <c r="I6" s="117">
        <f>C6*3+D6</f>
        <v>7</v>
      </c>
      <c r="J6" s="118">
        <v>23</v>
      </c>
      <c r="K6" s="118">
        <f>RANK(I6,I$4:I$7)</f>
        <v>1</v>
      </c>
      <c r="L6" s="118">
        <f>SUMPRODUCT((I$4:I$7=I6)*(H$4:H$7&gt;H6))</f>
        <v>1</v>
      </c>
      <c r="M6" s="118">
        <f>SUMPRODUCT((I$4:I$7=I6)*(H$4:H$7=H6)*(F$4:F$7&gt;F6))</f>
        <v>0</v>
      </c>
      <c r="N6" s="118">
        <f>SUMPRODUCT((I$4:I$7=I6)*(H$4:H$7=H6)*(F$4:F$7=F6)*(J$4:J$7&lt;J6))</f>
        <v>0</v>
      </c>
      <c r="O6" s="118">
        <f>IF(SUM(AG4:AI7)=0,IF(COUNTIF(AJ4:AJ7,0)&gt;1,3,AJ6+1),IF(AND(X5=3,X6=3,Y5&lt;&gt;0,Y6&lt;&gt;0),2,IF(OR(X6=5,X6=4),3,IF(X6=6,4,X6))))</f>
        <v>3</v>
      </c>
      <c r="P6" s="118" t="str">
        <f>VLOOKUP(3,A$4:B$7,2,FALSE)</f>
        <v>Horvátország</v>
      </c>
      <c r="Q6" s="118">
        <f>SUMIF(B$4:B$60,P6,F$4:F$60)</f>
        <v>6</v>
      </c>
      <c r="R6" s="118">
        <f>SUMIF(B$4:B$60,P6,H$4:H$60)</f>
        <v>100</v>
      </c>
      <c r="S6" s="117">
        <f>SUMIF($B$4:$B$60,$P6,I$4:I$60)</f>
        <v>3</v>
      </c>
      <c r="T6" s="118">
        <f>SUMIF($B$4:$B$60,$P6,A$4:A$60)</f>
        <v>3</v>
      </c>
      <c r="U6" s="118">
        <f t="shared" si="0"/>
        <v>0</v>
      </c>
      <c r="V6" s="118">
        <f t="shared" si="0"/>
        <v>0</v>
      </c>
      <c r="W6" s="118">
        <f>SUMIF($B$4:$B$60,$P6,J$4:J$60)</f>
        <v>18</v>
      </c>
      <c r="X6" s="118">
        <f>IF(Y6=0,T6,T6+AG6+AH6+AI6+AJ6)</f>
        <v>3</v>
      </c>
      <c r="Y6" s="118">
        <f>IF(OR(AND(S5=S6,R5=R6,Q5=Q6),AND(S7=S6,S6=S5,R7=R6,R6=R5,Q7=Q6,Q6=Q5)),P6,0)</f>
        <v>0</v>
      </c>
      <c r="Z6" s="118">
        <f>SUMIF($AY$4:$AY$60,$Y6,$AX$4:$AX$60)+SUMIF($BB$4:$BB$60,$Y6,$AX$4:$AX$60)</f>
        <v>0</v>
      </c>
      <c r="AA6" s="118">
        <f>SUMIF($AZ$4:$AZ$60,$Y6,$AX$4:$AX$60)+SUMIF($BC$4:$BC$60,$Y6,$AX$4:$AX$60)</f>
        <v>0</v>
      </c>
      <c r="AB6" s="118">
        <f>SUMIF($BA$4:$BA$60,$Y6,$AX$4:$AX$60)+SUMIF($BD$4:$BD$60,$Y6,$AX$4:$AX$60)</f>
        <v>0</v>
      </c>
      <c r="AC6" s="118">
        <f>SUMIF(AY$4:AY$60,Y6,AS$4:AS$60)+SUMIF(BB$4:BB$60,Y6,AW$4:AW$60)+SUMIF(AZ$4:AZ$60,Y6,AS$4:AS$60)+SUMIF(BC$4:BC$60,Y6,AW$4:AW$60)</f>
        <v>0</v>
      </c>
      <c r="AD6" s="118">
        <f>SUMIF(BA$4:BA$60,Y6,AS$4:AS$60)+SUMIF(BD$4:BD$60,Y6,AW$4:AW$60)+SUMIF(AZ$4:AZ$60,Y6,AS$4:AS$60)+SUMIF(BC$4:BC$60,Y6,AW$4:AW$60)</f>
        <v>0</v>
      </c>
      <c r="AE6" s="118">
        <f>AC6-AD6+100</f>
        <v>100</v>
      </c>
      <c r="AF6" s="117" t="str">
        <f>IF(Y6&lt;&gt;0,Z6*3+AA6,"")</f>
        <v/>
      </c>
      <c r="AG6" s="118">
        <f>IF(Y6&lt;&gt;0,RANK(AF6,AF$4:AF$7)-1,5)</f>
        <v>5</v>
      </c>
      <c r="AH6" s="118">
        <f>IF(Y6&lt;&gt;0,SUMPRODUCT((AF$4:AF$7=AF6)*(AE$4:AE$7&gt;AE6)),5)</f>
        <v>5</v>
      </c>
      <c r="AI6" s="118">
        <f>IF(Y6&lt;&gt;0,SUMPRODUCT(($AF$4:$AF$7=AF6)*($AE$4:$AE$7=AE6)*($AC$4:$AC$7&gt;AC6)),5)</f>
        <v>5</v>
      </c>
      <c r="AJ6" s="118">
        <f>IF(Y6&lt;&gt;0,SUMPRODUCT(($AF4:$AF7=AF6)*($AE4:$AE7=AE6)*($AC4:$AC7=AC6)*($AK4:$AK7&lt;AK6)),5)</f>
        <v>5</v>
      </c>
      <c r="AK6" s="118">
        <f>IF(AL6=0,0,VLOOKUP(Y6,Tournament!AE$13:AF$16,2,FALSE))</f>
        <v>0</v>
      </c>
      <c r="AL6" s="118">
        <f>IF(Y6&lt;&gt;0,IF(OR(SUM(AG6:AI6)=SUM(AG5:AI5),SUM(AG6:AI6)=SUM(AG7:AI7)),1,0),0)</f>
        <v>0</v>
      </c>
      <c r="AM6" s="118">
        <f>IF(AN6&lt;&gt;0,AM5+1,AM5)</f>
        <v>0</v>
      </c>
      <c r="AN6" s="118">
        <f>IF(AL6=1,Y6,0)</f>
        <v>0</v>
      </c>
      <c r="AO6" s="118">
        <v>3</v>
      </c>
      <c r="AP6" s="118" t="str">
        <f>IF(AND(Tournament!J16&lt;&gt;"",Tournament!L16&lt;&gt;""),IF(Tournament!J16&gt;Tournament!L16,Tournament!H16,""),"")</f>
        <v/>
      </c>
      <c r="AQ6" s="118" t="str">
        <f>IF(AND(Tournament!J16&lt;&gt;"",Tournament!L16&lt;&gt;""),IF(Tournament!J16=Tournament!L16,Tournament!H16,""),"")</f>
        <v/>
      </c>
      <c r="AR6" s="118" t="str">
        <f>IF(AND(Tournament!J16&lt;&gt;"",Tournament!L16&lt;&gt;""),IF(Tournament!J16&gt;Tournament!L16,Tournament!N16,""),"")</f>
        <v/>
      </c>
      <c r="AS6" s="118">
        <f>IF(AND(Tournament!J16&lt;&gt;"",Tournament!L16&lt;&gt;""),Tournament!J16,0)</f>
        <v>1</v>
      </c>
      <c r="AT6" s="118" t="str">
        <f>IF(AND(Tournament!J16&lt;&gt;"",Tournament!L16&lt;&gt;""),IF(Tournament!J16&lt;Tournament!L16,Tournament!N16,""),"")</f>
        <v>Hollandia</v>
      </c>
      <c r="AU6" s="118" t="str">
        <f>IF(AND(Tournament!J16&lt;&gt;"",Tournament!L16&lt;&gt;""),IF(Tournament!J16=Tournament!L16,Tournament!N16,""),"")</f>
        <v/>
      </c>
      <c r="AV6" s="118" t="str">
        <f>IF(AND(Tournament!J16&lt;&gt;"",Tournament!L16&lt;&gt;""),IF(Tournament!J16&lt;Tournament!L16,Tournament!H16,""),"")</f>
        <v>Spanyolország</v>
      </c>
      <c r="AW6" s="118">
        <f>IF(AND(Tournament!J16&lt;&gt;"",Tournament!L16&lt;&gt;""),Tournament!L16,0)</f>
        <v>5</v>
      </c>
      <c r="AX6" s="118">
        <v>1</v>
      </c>
      <c r="AY6" s="118" t="str">
        <f t="shared" si="1"/>
        <v/>
      </c>
      <c r="AZ6" s="118" t="str">
        <f t="shared" si="2"/>
        <v/>
      </c>
      <c r="BA6" s="118" t="str">
        <f t="shared" si="3"/>
        <v/>
      </c>
      <c r="BB6" s="118" t="str">
        <f t="shared" si="4"/>
        <v/>
      </c>
      <c r="BC6" s="118" t="str">
        <f t="shared" si="5"/>
        <v/>
      </c>
      <c r="BD6" s="118" t="str">
        <f t="shared" si="6"/>
        <v/>
      </c>
      <c r="BE6" s="118">
        <v>4</v>
      </c>
      <c r="BF6" s="118" t="str">
        <f>Tournament!H17</f>
        <v>Chile</v>
      </c>
      <c r="BG6" s="118">
        <f>IF(AND(Tournament!J17&lt;&gt;"",Tournament!L17&lt;&gt;""),Tournament!J17,"")</f>
        <v>3</v>
      </c>
      <c r="BH6" s="118">
        <f>IF(AND(Tournament!L17&lt;&gt;"",Tournament!J17&lt;&gt;""),Tournament!L17,"")</f>
        <v>1</v>
      </c>
      <c r="BI6" s="118" t="str">
        <f>Tournament!N17</f>
        <v>Ausztrália</v>
      </c>
    </row>
    <row r="7" spans="1:61">
      <c r="A7" s="118">
        <f>K7+L7+M7+N7</f>
        <v>4</v>
      </c>
      <c r="B7" s="118" t="str">
        <f>Tournament!N15</f>
        <v>Kamerun</v>
      </c>
      <c r="C7" s="118">
        <f>SUMIF(AP$4:AP$60,B7,AX$4:AX$60)+SUMIF(AT$4:AT$60,B7,AX$4:AX$60)</f>
        <v>0</v>
      </c>
      <c r="D7" s="118">
        <f>SUMIF(AQ$4:AQ$60,B7,AX$4:AX$60)+SUMIF(AU$4:AU$60,B7,AX$4:AX$60)</f>
        <v>0</v>
      </c>
      <c r="E7" s="118">
        <f>SUMIF(AR$4:AR$60,B7,AX$4:AX$60)+SUMIF(AV$4:AV$60,B7,AX$4:AX$60)</f>
        <v>3</v>
      </c>
      <c r="F7" s="118">
        <f>SUMIF($BF$3:$BF$60,B7,$BG$3:$BG$60)+SUMIF($BI$3:$BI$60,B7,$BH$3:$BH$60)</f>
        <v>1</v>
      </c>
      <c r="G7" s="118">
        <f>SUMIF($BI$3:$BI$60,B7,$BG$3:$BG$60)+SUMIF($BF$3:$BF$60,B7,$BH$3:$BH$60)</f>
        <v>9</v>
      </c>
      <c r="H7" s="118">
        <f>F7-G7+100</f>
        <v>92</v>
      </c>
      <c r="I7" s="117">
        <f>C7*3+D7</f>
        <v>0</v>
      </c>
      <c r="J7" s="118">
        <v>32</v>
      </c>
      <c r="K7" s="118">
        <f>RANK(I7,I$4:I$7)</f>
        <v>4</v>
      </c>
      <c r="L7" s="118">
        <f>SUMPRODUCT((I$4:I$7=I7)*(H$4:H$7&gt;H7))</f>
        <v>0</v>
      </c>
      <c r="M7" s="118">
        <f>SUMPRODUCT((I$4:I$7=I7)*(H$4:H$7=H7)*(F$4:F$7&gt;F7))</f>
        <v>0</v>
      </c>
      <c r="N7" s="118">
        <f>SUMPRODUCT((I$4:I$7=I7)*(H$4:H$7=H7)*(F$4:F$7=F7)*(J$4:J$7&lt;J7))</f>
        <v>0</v>
      </c>
      <c r="O7" s="118">
        <f>IF(SUM(AG4:AI7)=0,IF(COUNTIF(AJ4:AJ7,0)&gt;1,4,AJ7+1),IF(X7=X6,IF(X7=3,4,X7),IF(X7=5,3,IF(X7=6,4,X7))))</f>
        <v>4</v>
      </c>
      <c r="P7" s="118" t="str">
        <f>VLOOKUP(4,A$4:B$7,2,FALSE)</f>
        <v>Kamerun</v>
      </c>
      <c r="Q7" s="118">
        <f>SUMIF(B$4:B$60,P7,F$4:F$60)</f>
        <v>1</v>
      </c>
      <c r="R7" s="118">
        <f>SUMIF(B$4:B$60,P7,H$4:H$60)</f>
        <v>92</v>
      </c>
      <c r="S7" s="117">
        <f>SUMIF($B$4:$B$60,$P7,I$4:I$60)</f>
        <v>0</v>
      </c>
      <c r="T7" s="118">
        <f>SUMIF($B$4:$B$60,$P7,A$4:A$60)</f>
        <v>4</v>
      </c>
      <c r="U7" s="118">
        <f t="shared" si="0"/>
        <v>0</v>
      </c>
      <c r="V7" s="118">
        <f t="shared" si="0"/>
        <v>0</v>
      </c>
      <c r="W7" s="118">
        <f>SUMIF($B$4:$B$60,$P7,J$4:J$60)</f>
        <v>32</v>
      </c>
      <c r="X7" s="118">
        <f>IF(Y7=0,T7,T7+AG7+AH7+AI7+AJ7)</f>
        <v>4</v>
      </c>
      <c r="Y7" s="118">
        <f>IF(AND(S6=S7,S6=S5,R6=R7,R6=R5,Q6=Q7,Q6=Q5),P7,0)</f>
        <v>0</v>
      </c>
      <c r="Z7" s="118">
        <f>SUMIF($AY$4:$AY$60,$Y7,$AX$4:$AX$60)+SUMIF($BB$4:$BB$60,$Y7,$AX$4:$AX$60)</f>
        <v>0</v>
      </c>
      <c r="AA7" s="118">
        <f>SUMIF($AZ$4:$AZ$60,$Y7,$AX$4:$AX$60)+SUMIF($BC$4:$BC$60,$Y7,$AX$4:$AX$60)</f>
        <v>0</v>
      </c>
      <c r="AB7" s="118">
        <f>SUMIF($BA$4:$BA$60,$Y7,$AX$4:$AX$60)+SUMIF($BD$4:$BD$60,$Y7,$AX$4:$AX$60)</f>
        <v>0</v>
      </c>
      <c r="AC7" s="118">
        <f>SUMIF(AY$4:AY$60,Y7,AS$4:AS$60)+SUMIF(BB$4:BB$60,Y7,AW$4:AW$60)+SUMIF(AZ$4:AZ$60,Y7,AS$4:AS$60)+SUMIF(BC$4:BC$60,Y7,AW$4:AW$60)</f>
        <v>0</v>
      </c>
      <c r="AD7" s="118">
        <f>SUMIF(BA$4:BA$60,Y7,AS$4:AS$60)+SUMIF(BD$4:BD$60,Y7,AW$4:AW$60)+SUMIF(AZ$4:AZ$60,Y7,AS$4:AS$60)+SUMIF(BC$4:BC$60,Y7,AW$4:AW$60)</f>
        <v>0</v>
      </c>
      <c r="AE7" s="118">
        <f>AC7-AD7+100</f>
        <v>100</v>
      </c>
      <c r="AF7" s="117" t="str">
        <f>IF(Y7&lt;&gt;0,Z7*3+AA7,"")</f>
        <v/>
      </c>
      <c r="AG7" s="118">
        <f>IF(Y7&lt;&gt;0,RANK(AF7,AF$4:AF$7)-1,5)</f>
        <v>5</v>
      </c>
      <c r="AH7" s="118">
        <f>IF(Y7&lt;&gt;0,SUMPRODUCT((AF$4:AF$7=AF7)*(AE$4:AE$7&gt;AE7)),5)</f>
        <v>5</v>
      </c>
      <c r="AI7" s="118">
        <f>IF(Y7&lt;&gt;0,SUMPRODUCT(($AF$4:$AF$7=AF7)*($AE$4:$AE$7=AE7)*($AC$4:$AC$7&gt;AC7)),5)</f>
        <v>5</v>
      </c>
      <c r="AJ7" s="118">
        <f>IF(Y7&lt;&gt;0,SUMPRODUCT(($AF4:$AF7=AF7)*($AE4:$AE7=AE7)*($AC4:$AC7=AC7)*($AK4:$AK7&lt;AK7)),5)</f>
        <v>5</v>
      </c>
      <c r="AK7" s="118">
        <f>IF(AL7=0,0,VLOOKUP(Y7,Tournament!AE$13:AF$16,2,FALSE))</f>
        <v>0</v>
      </c>
      <c r="AL7" s="118">
        <f>IF(Y7&lt;&gt;0,IF(SUM(AG7:AI7)=SUM(AG6:AI6),1,0),0)</f>
        <v>0</v>
      </c>
      <c r="AM7" s="118">
        <f>IF(AN7&lt;&gt;0,AM6+1,AM6)</f>
        <v>0</v>
      </c>
      <c r="AN7" s="118">
        <f>IF(AL7=1,Y7,0)</f>
        <v>0</v>
      </c>
      <c r="AO7" s="118">
        <v>4</v>
      </c>
      <c r="AP7" s="118" t="str">
        <f>IF(AND(Tournament!J17&lt;&gt;"",Tournament!L17&lt;&gt;""),IF(Tournament!J17&gt;Tournament!L17,Tournament!H17,""),"")</f>
        <v>Chile</v>
      </c>
      <c r="AQ7" s="118" t="str">
        <f>IF(AND(Tournament!J17&lt;&gt;"",Tournament!L17&lt;&gt;""),IF(Tournament!J17=Tournament!L17,Tournament!H17,""),"")</f>
        <v/>
      </c>
      <c r="AR7" s="118" t="str">
        <f>IF(AND(Tournament!J17&lt;&gt;"",Tournament!L17&lt;&gt;""),IF(Tournament!J17&gt;Tournament!L17,Tournament!N17,""),"")</f>
        <v>Ausztrália</v>
      </c>
      <c r="AS7" s="118">
        <f>IF(AND(Tournament!J17&lt;&gt;"",Tournament!L17&lt;&gt;""),Tournament!J17,0)</f>
        <v>3</v>
      </c>
      <c r="AT7" s="118" t="str">
        <f>IF(AND(Tournament!J17&lt;&gt;"",Tournament!L17&lt;&gt;""),IF(Tournament!J17&lt;Tournament!L17,Tournament!N17,""),"")</f>
        <v/>
      </c>
      <c r="AU7" s="118" t="str">
        <f>IF(AND(Tournament!J17&lt;&gt;"",Tournament!L17&lt;&gt;""),IF(Tournament!J17=Tournament!L17,Tournament!N17,""),"")</f>
        <v/>
      </c>
      <c r="AV7" s="118" t="str">
        <f>IF(AND(Tournament!J17&lt;&gt;"",Tournament!L17&lt;&gt;""),IF(Tournament!J17&lt;Tournament!L17,Tournament!H17,""),"")</f>
        <v/>
      </c>
      <c r="AW7" s="118">
        <f>IF(AND(Tournament!J17&lt;&gt;"",Tournament!L17&lt;&gt;""),Tournament!L17,0)</f>
        <v>1</v>
      </c>
      <c r="AX7" s="118">
        <v>1</v>
      </c>
      <c r="AY7" s="118" t="str">
        <f t="shared" si="1"/>
        <v/>
      </c>
      <c r="AZ7" s="118" t="str">
        <f t="shared" si="2"/>
        <v/>
      </c>
      <c r="BA7" s="118" t="str">
        <f t="shared" si="3"/>
        <v/>
      </c>
      <c r="BB7" s="118" t="str">
        <f t="shared" si="4"/>
        <v/>
      </c>
      <c r="BC7" s="118" t="str">
        <f t="shared" si="5"/>
        <v/>
      </c>
      <c r="BD7" s="118" t="str">
        <f t="shared" si="6"/>
        <v/>
      </c>
      <c r="BE7" s="118">
        <v>5</v>
      </c>
      <c r="BF7" s="118" t="str">
        <f>Tournament!H18</f>
        <v>Colombia</v>
      </c>
      <c r="BG7" s="118">
        <f>IF(AND(Tournament!J18&lt;&gt;"",Tournament!L18&lt;&gt;""),Tournament!J18,"")</f>
        <v>3</v>
      </c>
      <c r="BH7" s="118">
        <f>IF(AND(Tournament!L18&lt;&gt;"",Tournament!J18&lt;&gt;""),Tournament!L18,"")</f>
        <v>0</v>
      </c>
      <c r="BI7" s="118" t="str">
        <f>Tournament!N18</f>
        <v>Görögország</v>
      </c>
    </row>
    <row r="8" spans="1:61">
      <c r="I8" s="117"/>
      <c r="S8" s="117"/>
      <c r="AF8" s="117"/>
      <c r="AO8" s="118">
        <v>5</v>
      </c>
      <c r="AP8" s="118" t="str">
        <f>IF(AND(Tournament!J18&lt;&gt;"",Tournament!L18&lt;&gt;""),IF(Tournament!J18&gt;Tournament!L18,Tournament!H18,""),"")</f>
        <v>Colombia</v>
      </c>
      <c r="AQ8" s="118" t="str">
        <f>IF(AND(Tournament!J18&lt;&gt;"",Tournament!L18&lt;&gt;""),IF(Tournament!J18=Tournament!L18,Tournament!H18,""),"")</f>
        <v/>
      </c>
      <c r="AR8" s="118" t="str">
        <f>IF(AND(Tournament!J18&lt;&gt;"",Tournament!L18&lt;&gt;""),IF(Tournament!J18&gt;Tournament!L18,Tournament!N18,""),"")</f>
        <v>Görögország</v>
      </c>
      <c r="AS8" s="118">
        <f>IF(AND(Tournament!J18&lt;&gt;"",Tournament!L18&lt;&gt;""),Tournament!J18,0)</f>
        <v>3</v>
      </c>
      <c r="AT8" s="118" t="str">
        <f>IF(AND(Tournament!J18&lt;&gt;"",Tournament!L18&lt;&gt;""),IF(Tournament!J18&lt;Tournament!L18,Tournament!N18,""),"")</f>
        <v/>
      </c>
      <c r="AU8" s="118" t="str">
        <f>IF(AND(Tournament!J18&lt;&gt;"",Tournament!L18&lt;&gt;""),IF(Tournament!J18=Tournament!L18,Tournament!N18,""),"")</f>
        <v/>
      </c>
      <c r="AV8" s="118" t="str">
        <f>IF(AND(Tournament!J18&lt;&gt;"",Tournament!L18&lt;&gt;""),IF(Tournament!J18&lt;Tournament!L18,Tournament!H18,""),"")</f>
        <v/>
      </c>
      <c r="AW8" s="118">
        <f>IF(AND(Tournament!J18&lt;&gt;"",Tournament!L18&lt;&gt;""),Tournament!L18,0)</f>
        <v>0</v>
      </c>
      <c r="AX8" s="118">
        <v>1</v>
      </c>
      <c r="AY8" s="118" t="str">
        <f t="shared" si="1"/>
        <v/>
      </c>
      <c r="AZ8" s="118" t="str">
        <f t="shared" si="2"/>
        <v/>
      </c>
      <c r="BA8" s="118" t="str">
        <f t="shared" si="3"/>
        <v/>
      </c>
      <c r="BB8" s="118" t="str">
        <f t="shared" si="4"/>
        <v/>
      </c>
      <c r="BC8" s="118" t="str">
        <f t="shared" si="5"/>
        <v/>
      </c>
      <c r="BD8" s="118" t="str">
        <f t="shared" si="6"/>
        <v/>
      </c>
      <c r="BE8" s="118">
        <v>6</v>
      </c>
      <c r="BF8" s="118" t="str">
        <f>Tournament!H19</f>
        <v>Elefántcsontpart</v>
      </c>
      <c r="BG8" s="118">
        <f>IF(AND(Tournament!J19&lt;&gt;"",Tournament!L19&lt;&gt;""),Tournament!J19,"")</f>
        <v>2</v>
      </c>
      <c r="BH8" s="118">
        <f>IF(AND(Tournament!L19&lt;&gt;"",Tournament!J19&lt;&gt;""),Tournament!L19,"")</f>
        <v>1</v>
      </c>
      <c r="BI8" s="118" t="str">
        <f>Tournament!N19</f>
        <v>Japán</v>
      </c>
    </row>
    <row r="9" spans="1:61">
      <c r="I9" s="117"/>
      <c r="S9" s="117"/>
      <c r="AF9" s="117"/>
      <c r="AO9" s="118">
        <v>6</v>
      </c>
      <c r="AP9" s="118" t="str">
        <f>IF(AND(Tournament!J19&lt;&gt;"",Tournament!L19&lt;&gt;""),IF(Tournament!J19&gt;Tournament!L19,Tournament!H19,""),"")</f>
        <v>Elefántcsontpart</v>
      </c>
      <c r="AQ9" s="118" t="str">
        <f>IF(AND(Tournament!J19&lt;&gt;"",Tournament!L19&lt;&gt;""),IF(Tournament!J19=Tournament!L19,Tournament!H19,""),"")</f>
        <v/>
      </c>
      <c r="AR9" s="118" t="str">
        <f>IF(AND(Tournament!J19&lt;&gt;"",Tournament!L19&lt;&gt;""),IF(Tournament!J19&gt;Tournament!L19,Tournament!N19,""),"")</f>
        <v>Japán</v>
      </c>
      <c r="AS9" s="118">
        <f>IF(AND(Tournament!J19&lt;&gt;"",Tournament!L19&lt;&gt;""),Tournament!J19,0)</f>
        <v>2</v>
      </c>
      <c r="AT9" s="118" t="str">
        <f>IF(AND(Tournament!J19&lt;&gt;"",Tournament!L19&lt;&gt;""),IF(Tournament!J19&lt;Tournament!L19,Tournament!N19,""),"")</f>
        <v/>
      </c>
      <c r="AU9" s="118" t="str">
        <f>IF(AND(Tournament!J19&lt;&gt;"",Tournament!L19&lt;&gt;""),IF(Tournament!J19=Tournament!L19,Tournament!N19,""),"")</f>
        <v/>
      </c>
      <c r="AV9" s="118" t="str">
        <f>IF(AND(Tournament!J19&lt;&gt;"",Tournament!L19&lt;&gt;""),IF(Tournament!J19&lt;Tournament!L19,Tournament!H19,""),"")</f>
        <v/>
      </c>
      <c r="AW9" s="118">
        <f>IF(AND(Tournament!J19&lt;&gt;"",Tournament!L19&lt;&gt;""),Tournament!L19,0)</f>
        <v>1</v>
      </c>
      <c r="AX9" s="118">
        <v>1</v>
      </c>
      <c r="AY9" s="118" t="str">
        <f t="shared" si="1"/>
        <v/>
      </c>
      <c r="AZ9" s="118" t="str">
        <f t="shared" si="2"/>
        <v/>
      </c>
      <c r="BA9" s="118" t="str">
        <f t="shared" si="3"/>
        <v/>
      </c>
      <c r="BB9" s="118" t="str">
        <f t="shared" si="4"/>
        <v/>
      </c>
      <c r="BC9" s="118" t="str">
        <f t="shared" si="5"/>
        <v/>
      </c>
      <c r="BD9" s="118" t="str">
        <f t="shared" si="6"/>
        <v/>
      </c>
      <c r="BE9" s="118">
        <v>7</v>
      </c>
      <c r="BF9" s="118" t="str">
        <f>Tournament!H20</f>
        <v>Uruguaj</v>
      </c>
      <c r="BG9" s="118">
        <f>IF(AND(Tournament!J20&lt;&gt;"",Tournament!L20&lt;&gt;""),Tournament!J20,"")</f>
        <v>1</v>
      </c>
      <c r="BH9" s="118">
        <f>IF(AND(Tournament!L20&lt;&gt;"",Tournament!J20&lt;&gt;""),Tournament!L20,"")</f>
        <v>3</v>
      </c>
      <c r="BI9" s="118" t="str">
        <f>Tournament!N20</f>
        <v>Costa Rica</v>
      </c>
    </row>
    <row r="10" spans="1:61">
      <c r="I10" s="117"/>
      <c r="S10" s="117"/>
      <c r="AF10" s="117"/>
      <c r="AO10" s="118">
        <v>7</v>
      </c>
      <c r="AP10" s="118" t="str">
        <f>IF(AND(Tournament!J20&lt;&gt;"",Tournament!L20&lt;&gt;""),IF(Tournament!J20&gt;Tournament!L20,Tournament!H20,""),"")</f>
        <v/>
      </c>
      <c r="AQ10" s="118" t="str">
        <f>IF(AND(Tournament!J20&lt;&gt;"",Tournament!L20&lt;&gt;""),IF(Tournament!J20=Tournament!L20,Tournament!H20,""),"")</f>
        <v/>
      </c>
      <c r="AR10" s="118" t="str">
        <f>IF(AND(Tournament!J20&lt;&gt;"",Tournament!L20&lt;&gt;""),IF(Tournament!J20&gt;Tournament!L20,Tournament!N20,""),"")</f>
        <v/>
      </c>
      <c r="AS10" s="118">
        <f>IF(AND(Tournament!J20&lt;&gt;"",Tournament!L20&lt;&gt;""),Tournament!J20,0)</f>
        <v>1</v>
      </c>
      <c r="AT10" s="118" t="str">
        <f>IF(AND(Tournament!J20&lt;&gt;"",Tournament!L20&lt;&gt;""),IF(Tournament!J20&lt;Tournament!L20,Tournament!N20,""),"")</f>
        <v>Costa Rica</v>
      </c>
      <c r="AU10" s="118" t="str">
        <f>IF(AND(Tournament!J20&lt;&gt;"",Tournament!L20&lt;&gt;""),IF(Tournament!J20=Tournament!L20,Tournament!N20,""),"")</f>
        <v/>
      </c>
      <c r="AV10" s="118" t="str">
        <f>IF(AND(Tournament!J20&lt;&gt;"",Tournament!L20&lt;&gt;""),IF(Tournament!J20&lt;Tournament!L20,Tournament!H20,""),"")</f>
        <v>Uruguaj</v>
      </c>
      <c r="AW10" s="118">
        <f>IF(AND(Tournament!J20&lt;&gt;"",Tournament!L20&lt;&gt;""),Tournament!L20,0)</f>
        <v>3</v>
      </c>
      <c r="AX10" s="118">
        <v>1</v>
      </c>
      <c r="AY10" s="118" t="str">
        <f t="shared" si="1"/>
        <v/>
      </c>
      <c r="AZ10" s="118" t="str">
        <f t="shared" si="2"/>
        <v/>
      </c>
      <c r="BA10" s="118" t="str">
        <f t="shared" si="3"/>
        <v/>
      </c>
      <c r="BB10" s="118" t="str">
        <f t="shared" si="4"/>
        <v/>
      </c>
      <c r="BC10" s="118" t="str">
        <f t="shared" si="5"/>
        <v/>
      </c>
      <c r="BD10" s="118" t="str">
        <f t="shared" si="6"/>
        <v/>
      </c>
      <c r="BE10" s="118">
        <v>8</v>
      </c>
      <c r="BF10" s="118" t="str">
        <f>Tournament!H21</f>
        <v>Anglia</v>
      </c>
      <c r="BG10" s="118">
        <f>IF(AND(Tournament!J21&lt;&gt;"",Tournament!L21&lt;&gt;""),Tournament!J21,"")</f>
        <v>1</v>
      </c>
      <c r="BH10" s="118">
        <f>IF(AND(Tournament!L21&lt;&gt;"",Tournament!J21&lt;&gt;""),Tournament!L21,"")</f>
        <v>2</v>
      </c>
      <c r="BI10" s="118" t="str">
        <f>Tournament!N21</f>
        <v>Olaszország</v>
      </c>
    </row>
    <row r="11" spans="1:61">
      <c r="A11" s="118">
        <f>K11+L11+M11+N11</f>
        <v>3</v>
      </c>
      <c r="B11" s="118" t="str">
        <f>Tournament!H16</f>
        <v>Spanyolország</v>
      </c>
      <c r="C11" s="118">
        <f>SUMIF(AP$4:AP$60,B11,AX$4:AX$60)+SUMIF(AT$4:AT$60,B11,AX$4:AX$60)</f>
        <v>1</v>
      </c>
      <c r="D11" s="118">
        <f>SUMIF(AQ$4:AQ$60,B11,AX$4:AX$60)+SUMIF(AU$4:AU$60,B11,AX$4:AX$60)</f>
        <v>0</v>
      </c>
      <c r="E11" s="118">
        <f>SUMIF(AR$4:AR$60,B11,AX$4:AX$60)+SUMIF(AV$4:AV$60,B11,AX$4:AX$60)</f>
        <v>2</v>
      </c>
      <c r="F11" s="118">
        <f>SUMIF($BF$3:$BF$60,B11,$BG$3:$BG$60)+SUMIF($BI$3:$BI$60,B11,$BH$3:$BH$60)</f>
        <v>4</v>
      </c>
      <c r="G11" s="118">
        <f>SUMIF($BI$3:$BI$60,B11,$BG$3:$BG$60)+SUMIF($BF$3:$BF$60,B11,$BH$3:$BH$60)</f>
        <v>7</v>
      </c>
      <c r="H11" s="118">
        <f>F11-G11+100</f>
        <v>97</v>
      </c>
      <c r="I11" s="117">
        <f>C11*3+D11</f>
        <v>3</v>
      </c>
      <c r="J11" s="118">
        <v>1</v>
      </c>
      <c r="K11" s="118">
        <f>RANK(I11,I$11:I$14)</f>
        <v>3</v>
      </c>
      <c r="L11" s="118">
        <f>SUMPRODUCT((I$11:I$14=I11)*(H$11:H$14&gt;H11))</f>
        <v>0</v>
      </c>
      <c r="M11" s="118">
        <f>SUMPRODUCT((I$11:I$14=I11)*(H$11:H$14=H11)*(F$11:F$14&gt;F11))</f>
        <v>0</v>
      </c>
      <c r="N11" s="118">
        <f>SUMPRODUCT((I$11:I$14=I11)*(H$11:H$14=H11)*(F$11:F$14=F11)*(J$11:J$14&lt;J11))</f>
        <v>0</v>
      </c>
      <c r="O11" s="118">
        <f>IF(SUM(AG11:AI14)=0,IF(COUNTIF(AJ11:AJ14,0)&gt;1,1,AJ11+1),X11)</f>
        <v>1</v>
      </c>
      <c r="P11" s="118" t="str">
        <f>VLOOKUP(1,A$11:B$14,2,FALSE)</f>
        <v>Hollandia</v>
      </c>
      <c r="Q11" s="118">
        <f>SUMIF(B$4:B$60,P11,F$4:F$60)</f>
        <v>10</v>
      </c>
      <c r="R11" s="118">
        <f>SUMIF(B$4:B$60,P11,H$4:H$60)</f>
        <v>107</v>
      </c>
      <c r="S11" s="117">
        <f>SUMIF($B$4:$B$60,$P11,I$4:I$60)</f>
        <v>9</v>
      </c>
      <c r="T11" s="118">
        <f>SUMIF($B$4:$B$60,$P11,A$4:A$60)</f>
        <v>1</v>
      </c>
      <c r="U11" s="118">
        <f t="shared" ref="U11:V14" si="7">SUMIF($B$4:$B$60,$P11,L$4:L$60)</f>
        <v>0</v>
      </c>
      <c r="V11" s="118">
        <f t="shared" si="7"/>
        <v>0</v>
      </c>
      <c r="W11" s="118">
        <f>SUMIF($B$4:$B$60,$P11,J$4:J$60)</f>
        <v>8</v>
      </c>
      <c r="X11" s="118">
        <f>IF(Y11=0,T11,T11+AG11+AH11+AI11)</f>
        <v>1</v>
      </c>
      <c r="Y11" s="118">
        <f>IF(AND(S11=S12,R11=R12,Q11=Q12),P11,0)</f>
        <v>0</v>
      </c>
      <c r="Z11" s="118">
        <f>SUMIF($AY$4:$AY$60,$Y11,$AX$4:$AX$60)+SUMIF($BB$4:$BB$60,$Y11,$AX$4:$AX$60)</f>
        <v>0</v>
      </c>
      <c r="AA11" s="118">
        <f>SUMIF($AZ$4:$AZ$60,$Y11,$AX$4:$AX$60)+SUMIF($BC$4:$BC$60,$Y11,$AX$4:$AX$60)</f>
        <v>0</v>
      </c>
      <c r="AB11" s="118">
        <f>SUMIF($BA$4:$BA$60,$Y11,$AX$4:$AX$60)+SUMIF($BD$4:$BD$60,$Y11,$AX$4:$AX$60)</f>
        <v>0</v>
      </c>
      <c r="AC11" s="118">
        <f>SUMIF(AY$4:AY$60,Y11,AS$4:AS$60)+SUMIF(BB$4:BB$60,Y11,AW$4:AW$60)+SUMIF(AZ$4:AZ$60,Y11,AS$4:AS$60)+SUMIF(BC$4:BC$60,Y11,AW$4:AW$60)</f>
        <v>0</v>
      </c>
      <c r="AD11" s="118">
        <f>SUMIF(BA$4:BA$60,Y11,AS$4:AS$60)+SUMIF(BD$4:BD$60,Y11,AW$4:AW$60)+SUMIF(AZ$4:AZ$60,Y11,AS$4:AS$60)+SUMIF(BC$4:BC$60,Y11,AW$4:AW$60)</f>
        <v>0</v>
      </c>
      <c r="AE11" s="118">
        <f>AC11-AD11+100</f>
        <v>100</v>
      </c>
      <c r="AF11" s="117" t="str">
        <f>IF(Y11&lt;&gt;0,Z11*3+AA11,"")</f>
        <v/>
      </c>
      <c r="AG11" s="118">
        <f>IF(Y11&lt;&gt;0,RANK(AF11,AF$11:AF$14)-1,5)</f>
        <v>5</v>
      </c>
      <c r="AH11" s="118">
        <f>IF(Y11&lt;&gt;0,SUMPRODUCT((AF$11:AF$14=AF11)*(AE$11:AE$14&gt;AE11)),5)</f>
        <v>5</v>
      </c>
      <c r="AI11" s="118">
        <f>IF(Y11&lt;&gt;0,SUMPRODUCT((AF$11:AF$14=AF11)*(AE$11:AE$14=AE11)*(AC$11:AC$14&gt;AC11)),5)</f>
        <v>5</v>
      </c>
      <c r="AJ11" s="118">
        <f>IF(Y11&lt;&gt;0,SUMPRODUCT(($AF11:$AF14=AF11)*($AE11:$AE14=AE11)*($AC11:$AC14=AC11)*($AK11:$AK14&lt;AK11)),5)</f>
        <v>5</v>
      </c>
      <c r="AK11" s="118">
        <f>IF(AL11=0,0,VLOOKUP(Y11,Tournament!AE$18:AF$22,2,FALSE))</f>
        <v>0</v>
      </c>
      <c r="AL11" s="118">
        <f>IF(Y11&lt;&gt;0,IF(SUM(AG11:AI11)=SUM(AG12:AI12),1,0),0)</f>
        <v>0</v>
      </c>
      <c r="AM11" s="118">
        <f>IF(AN11&lt;&gt;0,1,0)</f>
        <v>0</v>
      </c>
      <c r="AN11" s="118">
        <f>IF(AL11=1,Y11,0)</f>
        <v>0</v>
      </c>
      <c r="AO11" s="118">
        <v>8</v>
      </c>
      <c r="AP11" s="118" t="str">
        <f>IF(AND(Tournament!J21&lt;&gt;"",Tournament!L21&lt;&gt;""),IF(Tournament!J21&gt;Tournament!L21,Tournament!H21,""),"")</f>
        <v/>
      </c>
      <c r="AQ11" s="118" t="str">
        <f>IF(AND(Tournament!J21&lt;&gt;"",Tournament!L21&lt;&gt;""),IF(Tournament!J21=Tournament!L21,Tournament!H21,""),"")</f>
        <v/>
      </c>
      <c r="AR11" s="118" t="str">
        <f>IF(AND(Tournament!J21&lt;&gt;"",Tournament!L21&lt;&gt;""),IF(Tournament!J21&gt;Tournament!L21,Tournament!N21,""),"")</f>
        <v/>
      </c>
      <c r="AS11" s="118">
        <f>IF(AND(Tournament!J21&lt;&gt;"",Tournament!L21&lt;&gt;""),Tournament!J21,0)</f>
        <v>1</v>
      </c>
      <c r="AT11" s="118" t="str">
        <f>IF(AND(Tournament!J21&lt;&gt;"",Tournament!L21&lt;&gt;""),IF(Tournament!J21&lt;Tournament!L21,Tournament!N21,""),"")</f>
        <v>Olaszország</v>
      </c>
      <c r="AU11" s="118" t="str">
        <f>IF(AND(Tournament!J21&lt;&gt;"",Tournament!L21&lt;&gt;""),IF(Tournament!J21=Tournament!L21,Tournament!N21,""),"")</f>
        <v/>
      </c>
      <c r="AV11" s="118" t="str">
        <f>IF(AND(Tournament!J21&lt;&gt;"",Tournament!L21&lt;&gt;""),IF(Tournament!J21&lt;Tournament!L21,Tournament!H21,""),"")</f>
        <v>Anglia</v>
      </c>
      <c r="AW11" s="118">
        <f>IF(AND(Tournament!J21&lt;&gt;"",Tournament!L21&lt;&gt;""),Tournament!L21,0)</f>
        <v>2</v>
      </c>
      <c r="AX11" s="118">
        <v>1</v>
      </c>
      <c r="AY11" s="118" t="str">
        <f t="shared" si="1"/>
        <v/>
      </c>
      <c r="AZ11" s="118" t="str">
        <f t="shared" si="2"/>
        <v/>
      </c>
      <c r="BA11" s="118" t="str">
        <f t="shared" si="3"/>
        <v/>
      </c>
      <c r="BB11" s="118" t="str">
        <f t="shared" si="4"/>
        <v/>
      </c>
      <c r="BC11" s="118" t="str">
        <f t="shared" si="5"/>
        <v/>
      </c>
      <c r="BD11" s="118" t="str">
        <f t="shared" si="6"/>
        <v/>
      </c>
      <c r="BE11" s="118">
        <v>9</v>
      </c>
      <c r="BF11" s="118" t="str">
        <f>Tournament!H22</f>
        <v>Svájc</v>
      </c>
      <c r="BG11" s="118">
        <f>IF(AND(Tournament!J22&lt;&gt;"",Tournament!L22&lt;&gt;""),Tournament!J22,"")</f>
        <v>2</v>
      </c>
      <c r="BH11" s="118">
        <f>IF(AND(Tournament!L22&lt;&gt;"",Tournament!J22&lt;&gt;""),Tournament!L22,"")</f>
        <v>1</v>
      </c>
      <c r="BI11" s="118" t="str">
        <f>Tournament!N22</f>
        <v>Ecuador</v>
      </c>
    </row>
    <row r="12" spans="1:61">
      <c r="A12" s="118">
        <f>K12+L12+M12+N12</f>
        <v>1</v>
      </c>
      <c r="B12" s="118" t="str">
        <f>Tournament!N16</f>
        <v>Hollandia</v>
      </c>
      <c r="C12" s="118">
        <f>SUMIF(AP$4:AP$60,B12,AX$4:AX$60)+SUMIF(AT$4:AT$60,B12,AX$4:AX$60)</f>
        <v>3</v>
      </c>
      <c r="D12" s="118">
        <f>SUMIF(AQ$4:AQ$60,B12,AX$4:AX$60)+SUMIF(AU$4:AU$60,B12,AX$4:AX$60)</f>
        <v>0</v>
      </c>
      <c r="E12" s="118">
        <f>SUMIF(AR$4:AR$60,B12,AX$4:AX$60)+SUMIF(AV$4:AV$60,B12,AX$4:AX$60)</f>
        <v>0</v>
      </c>
      <c r="F12" s="118">
        <f>SUMIF($BF$3:$BF$60,B12,$BG$3:$BG$60)+SUMIF($BI$3:$BI$60,B12,$BH$3:$BH$60)</f>
        <v>10</v>
      </c>
      <c r="G12" s="118">
        <f>SUMIF($BI$3:$BI$60,B12,$BG$3:$BG$60)+SUMIF($BF$3:$BF$60,B12,$BH$3:$BH$60)</f>
        <v>3</v>
      </c>
      <c r="H12" s="118">
        <f>F12-G12+100</f>
        <v>107</v>
      </c>
      <c r="I12" s="117">
        <f>C12*3+D12</f>
        <v>9</v>
      </c>
      <c r="J12" s="118">
        <v>8</v>
      </c>
      <c r="K12" s="118">
        <f>RANK(I12,I$11:I$14)</f>
        <v>1</v>
      </c>
      <c r="L12" s="118">
        <f>SUMPRODUCT((I$11:I$14=I12)*(H$11:H$14&gt;H12))</f>
        <v>0</v>
      </c>
      <c r="M12" s="118">
        <f>SUMPRODUCT((I$11:I$14=I12)*(H$11:H$14=H12)*(F$11:F$14&gt;F12))</f>
        <v>0</v>
      </c>
      <c r="N12" s="118">
        <f>SUMPRODUCT((I$11:I$14=I12)*(H$11:H$14=H12)*(F$11:F$14=F12)*(J$11:J$14&lt;J12))</f>
        <v>0</v>
      </c>
      <c r="O12" s="118">
        <f>IF(SUM(AG11:AI14)=0,IF(COUNTIF(AJ11:AJ14,0)&gt;1,2,AJ12+1),IF(AND(X11=1,X12=3,Y11&lt;&gt;0,Y12&lt;&gt;0,Y13=0,Y14=0),2,IF(AND(X11=2,X12=2,Y11&lt;&gt;0,Y12&lt;&gt;0,Y13=0,Y14=0),1,X12)))</f>
        <v>2</v>
      </c>
      <c r="P12" s="118" t="str">
        <f>VLOOKUP(2,A$11:B$14,2,FALSE)</f>
        <v>Chile</v>
      </c>
      <c r="Q12" s="118">
        <f>SUMIF(B$4:B$60,P12,F$4:F$60)</f>
        <v>5</v>
      </c>
      <c r="R12" s="118">
        <f>SUMIF(B$4:B$60,P12,H$4:H$60)</f>
        <v>102</v>
      </c>
      <c r="S12" s="117">
        <f>SUMIF($B$4:$B$60,$P12,I$4:I$60)</f>
        <v>6</v>
      </c>
      <c r="T12" s="118">
        <f>SUMIF($B$4:$B$60,$P12,A$4:A$60)</f>
        <v>2</v>
      </c>
      <c r="U12" s="118">
        <f t="shared" si="7"/>
        <v>0</v>
      </c>
      <c r="V12" s="118">
        <f t="shared" si="7"/>
        <v>0</v>
      </c>
      <c r="W12" s="118">
        <f>SUMIF($B$4:$B$60,$P12,J$4:J$60)</f>
        <v>12</v>
      </c>
      <c r="X12" s="118">
        <f>IF(Y12=0,T12,T12+AG12+AH12+AI12)</f>
        <v>2</v>
      </c>
      <c r="Y12" s="118">
        <f>IF(OR(AND(S11=S12,R11=R12,Q11=Q12),AND(S13=S12,R13=R12,Q13=Q12)),P12,0)</f>
        <v>0</v>
      </c>
      <c r="Z12" s="118">
        <f>SUMIF($AY$4:$AY$60,$Y12,$AX$4:$AX$60)+SUMIF($BB$4:$BB$60,$Y12,$AX$4:$AX$60)</f>
        <v>0</v>
      </c>
      <c r="AA12" s="118">
        <f>SUMIF($AZ$4:$AZ$60,$Y12,$AX$4:$AX$60)+SUMIF($BC$4:$BC$60,$Y12,$AX$4:$AX$60)</f>
        <v>0</v>
      </c>
      <c r="AB12" s="118">
        <f>SUMIF($BA$4:$BA$60,$Y12,$AX$4:$AX$60)+SUMIF($BD$4:$BD$60,$Y12,$AX$4:$AX$60)</f>
        <v>0</v>
      </c>
      <c r="AC12" s="118">
        <f>SUMIF(AY$4:AY$60,Y12,AS$4:AS$60)+SUMIF(BB$4:BB$60,Y12,AW$4:AW$60)+SUMIF(AZ$4:AZ$60,Y12,AS$4:AS$60)+SUMIF(BC$4:BC$60,Y12,AW$4:AW$60)</f>
        <v>0</v>
      </c>
      <c r="AD12" s="118">
        <f>SUMIF(BA$4:BA$60,Y12,AS$4:AS$60)+SUMIF(BD$4:BD$60,Y12,AW$4:AW$60)+SUMIF(AZ$4:AZ$60,Y12,AS$4:AS$60)+SUMIF(BC$4:BC$60,Y12,AW$4:AW$60)</f>
        <v>0</v>
      </c>
      <c r="AE12" s="118">
        <f>AC12-AD12+100</f>
        <v>100</v>
      </c>
      <c r="AF12" s="117" t="str">
        <f>IF(Y12&lt;&gt;0,Z12*3+AA12,"")</f>
        <v/>
      </c>
      <c r="AG12" s="118">
        <f>IF(Y12&lt;&gt;0,RANK(AF12,AF$11:AF$14)-1,5)</f>
        <v>5</v>
      </c>
      <c r="AH12" s="118">
        <f>IF(Y12&lt;&gt;0,SUMPRODUCT((AF$11:AF$14=AF12)*(AE$11:AE$14&gt;AE12)),5)</f>
        <v>5</v>
      </c>
      <c r="AI12" s="118">
        <f>IF(Y12&lt;&gt;0,SUMPRODUCT((AF$11:AF$14=AF12)*(AE$11:AE$14=AE12)*(AC$11:AC$14&gt;AC12)),5)</f>
        <v>5</v>
      </c>
      <c r="AJ12" s="118">
        <f>IF(Y12&lt;&gt;0,SUMPRODUCT(($AF11:$AF14=AF12)*($AE11:$AE14=AE12)*($AC11:$AC14=AC12)*($AK11:$AK14&lt;AK12)),5)</f>
        <v>5</v>
      </c>
      <c r="AK12" s="118">
        <f>IF(AL12=0,0,VLOOKUP(Y12,Tournament!AE$18:AF$22,2,FALSE))</f>
        <v>0</v>
      </c>
      <c r="AL12" s="118">
        <f>IF(Y12&lt;&gt;0,IF(OR(SUM(AG12:AI12)=SUM(AG11:AI11),SUM(AG12:AI12)=SUM(AG13:AI13)),1,0),0)</f>
        <v>0</v>
      </c>
      <c r="AM12" s="118">
        <f>IF(AN12&lt;&gt;0,AM11+1,AM11)</f>
        <v>0</v>
      </c>
      <c r="AN12" s="118">
        <f>IF(AL12=1,Y12,0)</f>
        <v>0</v>
      </c>
      <c r="AO12" s="118">
        <v>9</v>
      </c>
      <c r="AP12" s="118" t="str">
        <f>IF(AND(Tournament!J22&lt;&gt;"",Tournament!L22&lt;&gt;""),IF(Tournament!J22&gt;Tournament!L22,Tournament!H22,""),"")</f>
        <v>Svájc</v>
      </c>
      <c r="AQ12" s="118" t="str">
        <f>IF(AND(Tournament!J22&lt;&gt;"",Tournament!L22&lt;&gt;""),IF(Tournament!J22=Tournament!L22,Tournament!H22,""),"")</f>
        <v/>
      </c>
      <c r="AR12" s="118" t="str">
        <f>IF(AND(Tournament!J22&lt;&gt;"",Tournament!L22&lt;&gt;""),IF(Tournament!J22&gt;Tournament!L22,Tournament!N22,""),"")</f>
        <v>Ecuador</v>
      </c>
      <c r="AS12" s="118">
        <f>IF(AND(Tournament!J22&lt;&gt;"",Tournament!L22&lt;&gt;""),Tournament!J22,0)</f>
        <v>2</v>
      </c>
      <c r="AT12" s="118" t="str">
        <f>IF(AND(Tournament!J22&lt;&gt;"",Tournament!L22&lt;&gt;""),IF(Tournament!J22&lt;Tournament!L22,Tournament!N22,""),"")</f>
        <v/>
      </c>
      <c r="AU12" s="118" t="str">
        <f>IF(AND(Tournament!J22&lt;&gt;"",Tournament!L22&lt;&gt;""),IF(Tournament!J22=Tournament!L22,Tournament!N22,""),"")</f>
        <v/>
      </c>
      <c r="AV12" s="118" t="str">
        <f>IF(AND(Tournament!J22&lt;&gt;"",Tournament!L22&lt;&gt;""),IF(Tournament!J22&lt;Tournament!L22,Tournament!H22,""),"")</f>
        <v/>
      </c>
      <c r="AW12" s="118">
        <f>IF(AND(Tournament!J22&lt;&gt;"",Tournament!L22&lt;&gt;""),Tournament!L22,0)</f>
        <v>1</v>
      </c>
      <c r="AX12" s="118">
        <v>1</v>
      </c>
      <c r="AY12" s="118" t="str">
        <f t="shared" si="1"/>
        <v/>
      </c>
      <c r="AZ12" s="118" t="str">
        <f t="shared" si="2"/>
        <v/>
      </c>
      <c r="BA12" s="118" t="str">
        <f t="shared" si="3"/>
        <v/>
      </c>
      <c r="BB12" s="118" t="str">
        <f t="shared" si="4"/>
        <v/>
      </c>
      <c r="BC12" s="118" t="str">
        <f t="shared" si="5"/>
        <v/>
      </c>
      <c r="BD12" s="118" t="str">
        <f t="shared" si="6"/>
        <v/>
      </c>
      <c r="BE12" s="118">
        <v>10</v>
      </c>
      <c r="BF12" s="118" t="str">
        <f>Tournament!H23</f>
        <v>Franciaország</v>
      </c>
      <c r="BG12" s="118">
        <f>IF(AND(Tournament!J23&lt;&gt;"",Tournament!L23&lt;&gt;""),Tournament!J23,"")</f>
        <v>3</v>
      </c>
      <c r="BH12" s="118">
        <f>IF(AND(Tournament!L23&lt;&gt;"",Tournament!J23&lt;&gt;""),Tournament!L23,"")</f>
        <v>0</v>
      </c>
      <c r="BI12" s="118" t="str">
        <f>Tournament!N23</f>
        <v>Hondurasz</v>
      </c>
    </row>
    <row r="13" spans="1:61">
      <c r="A13" s="118">
        <f>K13+L13+M13+N13</f>
        <v>2</v>
      </c>
      <c r="B13" s="118" t="str">
        <f>Tournament!H17</f>
        <v>Chile</v>
      </c>
      <c r="C13" s="118">
        <f>SUMIF(AP$4:AP$60,B13,AX$4:AX$60)+SUMIF(AT$4:AT$60,B13,AX$4:AX$60)</f>
        <v>2</v>
      </c>
      <c r="D13" s="118">
        <f>SUMIF(AQ$4:AQ$60,B13,AX$4:AX$60)+SUMIF(AU$4:AU$60,B13,AX$4:AX$60)</f>
        <v>0</v>
      </c>
      <c r="E13" s="118">
        <f>SUMIF(AR$4:AR$60,B13,AX$4:AX$60)+SUMIF(AV$4:AV$60,B13,AX$4:AX$60)</f>
        <v>1</v>
      </c>
      <c r="F13" s="118">
        <f>SUMIF($BF$3:$BF$60,B13,$BG$3:$BG$60)+SUMIF($BI$3:$BI$60,B13,$BH$3:$BH$60)</f>
        <v>5</v>
      </c>
      <c r="G13" s="118">
        <f>SUMIF($BI$3:$BI$60,B13,$BG$3:$BG$60)+SUMIF($BF$3:$BF$60,B13,$BH$3:$BH$60)</f>
        <v>3</v>
      </c>
      <c r="H13" s="118">
        <f>F13-G13+100</f>
        <v>102</v>
      </c>
      <c r="I13" s="117">
        <f>C13*3+D13</f>
        <v>6</v>
      </c>
      <c r="J13" s="118">
        <v>12</v>
      </c>
      <c r="K13" s="118">
        <f>RANK(I13,I$11:I$14)</f>
        <v>2</v>
      </c>
      <c r="L13" s="118">
        <f>SUMPRODUCT((I$11:I$14=I13)*(H$11:H$14&gt;H13))</f>
        <v>0</v>
      </c>
      <c r="M13" s="118">
        <f>SUMPRODUCT((I$11:I$14=I13)*(H$11:H$14=H13)*(F$11:F$14&gt;F13))</f>
        <v>0</v>
      </c>
      <c r="N13" s="118">
        <f>SUMPRODUCT((I$11:I$14=I13)*(H$11:H$14=H13)*(F$11:F$14=F13)*(J$11:J$14&lt;J13))</f>
        <v>0</v>
      </c>
      <c r="O13" s="118">
        <f>IF(SUM(AG11:AI14)=0,IF(COUNTIF(AJ11:AJ14,0)&gt;1,3,AJ13+1),IF(AND(X12=3,X13=3,Y12&lt;&gt;0,Y13&lt;&gt;0),2,IF(OR(X13=5,X13=4),3,IF(X13=6,4,X13))))</f>
        <v>3</v>
      </c>
      <c r="P13" s="118" t="str">
        <f>VLOOKUP(3,A$11:B$14,2,FALSE)</f>
        <v>Spanyolország</v>
      </c>
      <c r="Q13" s="118">
        <f>SUMIF(B$4:B$60,P13,F$4:F$60)</f>
        <v>4</v>
      </c>
      <c r="R13" s="118">
        <f>SUMIF(B$4:B$60,P13,H$4:H$60)</f>
        <v>97</v>
      </c>
      <c r="S13" s="117">
        <f>SUMIF($B$4:$B$60,$P13,I$4:I$60)</f>
        <v>3</v>
      </c>
      <c r="T13" s="118">
        <f>SUMIF($B$4:$B$60,$P13,A$4:A$60)</f>
        <v>3</v>
      </c>
      <c r="U13" s="118">
        <f t="shared" si="7"/>
        <v>0</v>
      </c>
      <c r="V13" s="118">
        <f t="shared" si="7"/>
        <v>0</v>
      </c>
      <c r="W13" s="118">
        <f>SUMIF($B$4:$B$60,$P13,J$4:J$60)</f>
        <v>1</v>
      </c>
      <c r="X13" s="118">
        <f>IF(Y13=0,T13,T13+AG13+AH13+AI13)</f>
        <v>3</v>
      </c>
      <c r="Y13" s="118">
        <f>IF(OR(AND(S12=S13,R12=R13,Q12=Q13),AND(S14=S13,S13=S12,R14=R13,R13=R12,Q14=Q13,Q13=Q12)),P13,0)</f>
        <v>0</v>
      </c>
      <c r="Z13" s="118">
        <f>SUMIF($AY$4:$AY$60,$Y13,$AX$4:$AX$60)+SUMIF($BB$4:$BB$60,$Y13,$AX$4:$AX$60)</f>
        <v>0</v>
      </c>
      <c r="AA13" s="118">
        <f>SUMIF($AZ$4:$AZ$60,$Y13,$AX$4:$AX$60)+SUMIF($BC$4:$BC$60,$Y13,$AX$4:$AX$60)</f>
        <v>0</v>
      </c>
      <c r="AB13" s="118">
        <f>SUMIF($BA$4:$BA$60,$Y13,$AX$4:$AX$60)+SUMIF($BD$4:$BD$60,$Y13,$AX$4:$AX$60)</f>
        <v>0</v>
      </c>
      <c r="AC13" s="118">
        <f>SUMIF(AY$4:AY$60,Y13,AS$4:AS$60)+SUMIF(BB$4:BB$60,Y13,AW$4:AW$60)+SUMIF(AZ$4:AZ$60,Y13,AS$4:AS$60)+SUMIF(BC$4:BC$60,Y13,AW$4:AW$60)</f>
        <v>0</v>
      </c>
      <c r="AD13" s="118">
        <f>SUMIF(BA$4:BA$60,Y13,AS$4:AS$60)+SUMIF(BD$4:BD$60,Y13,AW$4:AW$60)+SUMIF(AZ$4:AZ$60,Y13,AS$4:AS$60)+SUMIF(BC$4:BC$60,Y13,AW$4:AW$60)</f>
        <v>0</v>
      </c>
      <c r="AE13" s="118">
        <f>AC13-AD13+100</f>
        <v>100</v>
      </c>
      <c r="AF13" s="117" t="str">
        <f>IF(Y13&lt;&gt;0,Z13*3+AA13,"")</f>
        <v/>
      </c>
      <c r="AG13" s="118">
        <f>IF(Y13&lt;&gt;0,RANK(AF13,AF$11:AF$14)-1,5)</f>
        <v>5</v>
      </c>
      <c r="AH13" s="118">
        <f>IF(Y13&lt;&gt;0,SUMPRODUCT((AF$11:AF$14=AF13)*(AE$11:AE$14&gt;AE13)),5)</f>
        <v>5</v>
      </c>
      <c r="AI13" s="118">
        <f>IF(Y13&lt;&gt;0,SUMPRODUCT((AF$11:AF$14=AF13)*(AE$11:AE$14=AE13)*(AC$11:AC$14&gt;AC13)),5)</f>
        <v>5</v>
      </c>
      <c r="AJ13" s="118">
        <f>IF(Y13&lt;&gt;0,SUMPRODUCT(($AF11:$AF14=AF13)*($AE11:$AE14=AE13)*($AC11:$AC14=AC13)*($AK11:$AK14&lt;AK13)),5)</f>
        <v>5</v>
      </c>
      <c r="AK13" s="118">
        <f>IF(AL13=0,0,VLOOKUP(Y13,Tournament!AE$18:AF$22,2,FALSE))</f>
        <v>0</v>
      </c>
      <c r="AL13" s="118">
        <f>IF(Y13&lt;&gt;0,IF(OR(SUM(AG13:AI13)=SUM(AG12:AI12),SUM(AG13:AI13)=SUM(AG14:AI14)),1,0),0)</f>
        <v>0</v>
      </c>
      <c r="AM13" s="118">
        <f>IF(AN13&lt;&gt;0,AM12+1,AM12)</f>
        <v>0</v>
      </c>
      <c r="AN13" s="118">
        <f>IF(AL13=1,Y13,0)</f>
        <v>0</v>
      </c>
      <c r="AO13" s="118">
        <v>10</v>
      </c>
      <c r="AP13" s="118" t="str">
        <f>IF(AND(Tournament!J23&lt;&gt;"",Tournament!L23&lt;&gt;""),IF(Tournament!J23&gt;Tournament!L23,Tournament!H23,""),"")</f>
        <v>Franciaország</v>
      </c>
      <c r="AQ13" s="118" t="str">
        <f>IF(AND(Tournament!J23&lt;&gt;"",Tournament!L23&lt;&gt;""),IF(Tournament!J23=Tournament!L23,Tournament!H23,""),"")</f>
        <v/>
      </c>
      <c r="AR13" s="118" t="str">
        <f>IF(AND(Tournament!J23&lt;&gt;"",Tournament!L23&lt;&gt;""),IF(Tournament!J23&gt;Tournament!L23,Tournament!N23,""),"")</f>
        <v>Hondurasz</v>
      </c>
      <c r="AS13" s="118">
        <f>IF(AND(Tournament!J23&lt;&gt;"",Tournament!L23&lt;&gt;""),Tournament!J23,0)</f>
        <v>3</v>
      </c>
      <c r="AT13" s="118" t="str">
        <f>IF(AND(Tournament!J23&lt;&gt;"",Tournament!L23&lt;&gt;""),IF(Tournament!J23&lt;Tournament!L23,Tournament!N23,""),"")</f>
        <v/>
      </c>
      <c r="AU13" s="118" t="str">
        <f>IF(AND(Tournament!J23&lt;&gt;"",Tournament!L23&lt;&gt;""),IF(Tournament!J23=Tournament!L23,Tournament!N23,""),"")</f>
        <v/>
      </c>
      <c r="AV13" s="118" t="str">
        <f>IF(AND(Tournament!J23&lt;&gt;"",Tournament!L23&lt;&gt;""),IF(Tournament!J23&lt;Tournament!L23,Tournament!H23,""),"")</f>
        <v/>
      </c>
      <c r="AW13" s="118">
        <f>IF(AND(Tournament!J23&lt;&gt;"",Tournament!L23&lt;&gt;""),Tournament!L23,0)</f>
        <v>0</v>
      </c>
      <c r="AX13" s="118">
        <v>1</v>
      </c>
      <c r="AY13" s="118" t="str">
        <f t="shared" si="1"/>
        <v/>
      </c>
      <c r="AZ13" s="118" t="str">
        <f t="shared" si="2"/>
        <v/>
      </c>
      <c r="BA13" s="118" t="str">
        <f t="shared" si="3"/>
        <v/>
      </c>
      <c r="BB13" s="118" t="str">
        <f t="shared" si="4"/>
        <v/>
      </c>
      <c r="BC13" s="118" t="str">
        <f t="shared" si="5"/>
        <v/>
      </c>
      <c r="BD13" s="118" t="str">
        <f t="shared" si="6"/>
        <v/>
      </c>
      <c r="BE13" s="118">
        <v>11</v>
      </c>
      <c r="BF13" s="118" t="str">
        <f>Tournament!H24</f>
        <v>Argentína</v>
      </c>
      <c r="BG13" s="118">
        <f>IF(AND(Tournament!J24&lt;&gt;"",Tournament!L24&lt;&gt;""),Tournament!J24,"")</f>
        <v>2</v>
      </c>
      <c r="BH13" s="118">
        <f>IF(AND(Tournament!L24&lt;&gt;"",Tournament!J24&lt;&gt;""),Tournament!L24,"")</f>
        <v>1</v>
      </c>
      <c r="BI13" s="118" t="str">
        <f>Tournament!N24</f>
        <v>Bosznia-Hercegovina</v>
      </c>
    </row>
    <row r="14" spans="1:61">
      <c r="A14" s="118">
        <f>K14+L14+M14+N14</f>
        <v>4</v>
      </c>
      <c r="B14" s="118" t="str">
        <f>Tournament!N17</f>
        <v>Ausztrália</v>
      </c>
      <c r="C14" s="118">
        <f>SUMIF(AP$4:AP$60,B14,AX$4:AX$60)+SUMIF(AT$4:AT$60,B14,AX$4:AX$60)</f>
        <v>0</v>
      </c>
      <c r="D14" s="118">
        <f>SUMIF(AQ$4:AQ$60,B14,AX$4:AX$60)+SUMIF(AU$4:AU$60,B14,AX$4:AX$60)</f>
        <v>0</v>
      </c>
      <c r="E14" s="118">
        <f>SUMIF(AR$4:AR$60,B14,AX$4:AX$60)+SUMIF(AV$4:AV$60,B14,AX$4:AX$60)</f>
        <v>3</v>
      </c>
      <c r="F14" s="118">
        <f>SUMIF($BF$3:$BF$60,B14,$BG$3:$BG$60)+SUMIF($BI$3:$BI$60,B14,$BH$3:$BH$60)</f>
        <v>3</v>
      </c>
      <c r="G14" s="118">
        <f>SUMIF($BI$3:$BI$60,B14,$BG$3:$BG$60)+SUMIF($BF$3:$BF$60,B14,$BH$3:$BH$60)</f>
        <v>9</v>
      </c>
      <c r="H14" s="118">
        <f>F14-G14+100</f>
        <v>94</v>
      </c>
      <c r="I14" s="117">
        <f>C14*3+D14</f>
        <v>0</v>
      </c>
      <c r="J14" s="118">
        <v>31</v>
      </c>
      <c r="K14" s="118">
        <f>RANK(I14,I$11:I$14)</f>
        <v>4</v>
      </c>
      <c r="L14" s="118">
        <f>SUMPRODUCT((I$11:I$14=I14)*(H$11:H$14&gt;H14))</f>
        <v>0</v>
      </c>
      <c r="M14" s="118">
        <f>SUMPRODUCT((I$11:I$14=I14)*(H$11:H$14=H14)*(F$11:F$14&gt;F14))</f>
        <v>0</v>
      </c>
      <c r="N14" s="118">
        <f>SUMPRODUCT((I$11:I$14=I14)*(H$11:H$14=H14)*(F$11:F$14=F14)*(J$11:J$14&lt;J14))</f>
        <v>0</v>
      </c>
      <c r="O14" s="118">
        <f>IF(SUM(AG11:AI14)=0,IF(COUNTIF(AJ11:AJ14,0)&gt;1,4,AJ14+1),IF(X14=X13,IF(X14=3,4,X14),IF(X14=5,3,IF(X14=6,4,X14))))</f>
        <v>4</v>
      </c>
      <c r="P14" s="118" t="str">
        <f>VLOOKUP(4,A$11:B$14,2,FALSE)</f>
        <v>Ausztrália</v>
      </c>
      <c r="Q14" s="118">
        <f>SUMIF(B$4:B$60,P14,F$4:F$60)</f>
        <v>3</v>
      </c>
      <c r="R14" s="118">
        <f>SUMIF(B$4:B$60,P14,H$4:H$60)</f>
        <v>94</v>
      </c>
      <c r="S14" s="117">
        <f>SUMIF($B$4:$B$60,$P14,I$4:I$60)</f>
        <v>0</v>
      </c>
      <c r="T14" s="118">
        <f>SUMIF($B$4:$B$60,$P14,A$4:A$60)</f>
        <v>4</v>
      </c>
      <c r="U14" s="118">
        <f t="shared" si="7"/>
        <v>0</v>
      </c>
      <c r="V14" s="118">
        <f t="shared" si="7"/>
        <v>0</v>
      </c>
      <c r="W14" s="118">
        <f>SUMIF($B$4:$B$60,$P14,J$4:J$60)</f>
        <v>31</v>
      </c>
      <c r="X14" s="118">
        <f>IF(Y14=0,T14,T14+AG14+AH14+AI14)</f>
        <v>4</v>
      </c>
      <c r="Y14" s="118">
        <f>IF(AND(S13=S14,S13=S12,R13=R14,R13=R12,Q13=Q14,Q13=Q12),P14,0)</f>
        <v>0</v>
      </c>
      <c r="Z14" s="118">
        <f>SUMIF($AY$4:$AY$60,$Y14,$AX$4:$AX$60)+SUMIF($BB$4:$BB$60,$Y14,$AX$4:$AX$60)</f>
        <v>0</v>
      </c>
      <c r="AA14" s="118">
        <f>SUMIF($AZ$4:$AZ$60,$Y14,$AX$4:$AX$60)+SUMIF($BC$4:$BC$60,$Y14,$AX$4:$AX$60)</f>
        <v>0</v>
      </c>
      <c r="AB14" s="118">
        <f>SUMIF($BA$4:$BA$60,$Y14,$AX$4:$AX$60)+SUMIF($BD$4:$BD$60,$Y14,$AX$4:$AX$60)</f>
        <v>0</v>
      </c>
      <c r="AC14" s="118">
        <f>SUMIF(AY$4:AY$60,Y14,AS$4:AS$60)+SUMIF(BB$4:BB$60,Y14,AW$4:AW$60)+SUMIF(AZ$4:AZ$60,Y14,AS$4:AS$60)+SUMIF(BC$4:BC$60,Y14,AW$4:AW$60)</f>
        <v>0</v>
      </c>
      <c r="AD14" s="118">
        <f>SUMIF(BA$4:BA$60,Y14,AS$4:AS$60)+SUMIF(BD$4:BD$60,Y14,AW$4:AW$60)+SUMIF(AZ$4:AZ$60,Y14,AS$4:AS$60)+SUMIF(BC$4:BC$60,Y14,AW$4:AW$60)</f>
        <v>0</v>
      </c>
      <c r="AE14" s="118">
        <f>AC14-AD14+100</f>
        <v>100</v>
      </c>
      <c r="AF14" s="117" t="str">
        <f>IF(Y14&lt;&gt;0,Z14*3+AA14,"")</f>
        <v/>
      </c>
      <c r="AG14" s="118">
        <f>IF(Y14&lt;&gt;0,RANK(AF14,AF$11:AF$14)-1,5)</f>
        <v>5</v>
      </c>
      <c r="AH14" s="118">
        <f>IF(Y14&lt;&gt;0,SUMPRODUCT((AF$11:AF$14=AF14)*(AE$11:AE$14&gt;AE14)),5)</f>
        <v>5</v>
      </c>
      <c r="AI14" s="118">
        <f>IF(Y14&lt;&gt;0,SUMPRODUCT((AF$11:AF$14=AF14)*(AE$11:AE$14=AE14)*(AC$11:AC$14&gt;AC14)),5)</f>
        <v>5</v>
      </c>
      <c r="AJ14" s="118">
        <f>IF(Y14&lt;&gt;0,SUMPRODUCT(($AF11:$AF14=AF14)*($AE11:$AE14=AE14)*($AC11:$AC14=AC14)*($AK11:$AK14&lt;AK14)),5)</f>
        <v>5</v>
      </c>
      <c r="AK14" s="118">
        <f>IF(AL14=0,0,VLOOKUP(Y14,Tournament!AE$18:AF$22,2,FALSE))</f>
        <v>0</v>
      </c>
      <c r="AL14" s="118">
        <f>IF(Y14&lt;&gt;0,IF(SUM(AG14:AI14)=SUM(AG13:AI13),1,0),0)</f>
        <v>0</v>
      </c>
      <c r="AM14" s="118">
        <f>IF(AN14&lt;&gt;0,AM13+1,AM13)</f>
        <v>0</v>
      </c>
      <c r="AN14" s="118">
        <f>IF(AL14=1,Y14,0)</f>
        <v>0</v>
      </c>
      <c r="AO14" s="118">
        <v>11</v>
      </c>
      <c r="AP14" s="118" t="str">
        <f>IF(AND(Tournament!J24&lt;&gt;"",Tournament!L24&lt;&gt;""),IF(Tournament!J24&gt;Tournament!L24,Tournament!H24,""),"")</f>
        <v>Argentína</v>
      </c>
      <c r="AQ14" s="118" t="str">
        <f>IF(AND(Tournament!J24&lt;&gt;"",Tournament!L24&lt;&gt;""),IF(Tournament!J24=Tournament!L24,Tournament!H24,""),"")</f>
        <v/>
      </c>
      <c r="AR14" s="118" t="str">
        <f>IF(AND(Tournament!J24&lt;&gt;"",Tournament!L24&lt;&gt;""),IF(Tournament!J24&gt;Tournament!L24,Tournament!N24,""),"")</f>
        <v>Bosznia-Hercegovina</v>
      </c>
      <c r="AS14" s="118">
        <f>IF(AND(Tournament!J24&lt;&gt;"",Tournament!L24&lt;&gt;""),Tournament!J24,0)</f>
        <v>2</v>
      </c>
      <c r="AT14" s="118" t="str">
        <f>IF(AND(Tournament!J24&lt;&gt;"",Tournament!L24&lt;&gt;""),IF(Tournament!J24&lt;Tournament!L24,Tournament!N24,""),"")</f>
        <v/>
      </c>
      <c r="AU14" s="118" t="str">
        <f>IF(AND(Tournament!J24&lt;&gt;"",Tournament!L24&lt;&gt;""),IF(Tournament!J24=Tournament!L24,Tournament!N24,""),"")</f>
        <v/>
      </c>
      <c r="AV14" s="118" t="str">
        <f>IF(AND(Tournament!J24&lt;&gt;"",Tournament!L24&lt;&gt;""),IF(Tournament!J24&lt;Tournament!L24,Tournament!H24,""),"")</f>
        <v/>
      </c>
      <c r="AW14" s="118">
        <f>IF(AND(Tournament!J24&lt;&gt;"",Tournament!L24&lt;&gt;""),Tournament!L24,0)</f>
        <v>1</v>
      </c>
      <c r="AX14" s="118">
        <v>1</v>
      </c>
      <c r="AY14" s="118" t="str">
        <f t="shared" si="1"/>
        <v/>
      </c>
      <c r="AZ14" s="118" t="str">
        <f t="shared" si="2"/>
        <v/>
      </c>
      <c r="BA14" s="118" t="str">
        <f t="shared" si="3"/>
        <v/>
      </c>
      <c r="BB14" s="118" t="str">
        <f t="shared" si="4"/>
        <v/>
      </c>
      <c r="BC14" s="118" t="str">
        <f t="shared" si="5"/>
        <v/>
      </c>
      <c r="BD14" s="118" t="str">
        <f t="shared" si="6"/>
        <v/>
      </c>
      <c r="BE14" s="118">
        <v>12</v>
      </c>
      <c r="BF14" s="118" t="str">
        <f>Tournament!H25</f>
        <v>Irán</v>
      </c>
      <c r="BG14" s="118">
        <f>IF(AND(Tournament!J25&lt;&gt;"",Tournament!L25&lt;&gt;""),Tournament!J25,"")</f>
        <v>0</v>
      </c>
      <c r="BH14" s="118">
        <f>IF(AND(Tournament!L25&lt;&gt;"",Tournament!J25&lt;&gt;""),Tournament!L25,"")</f>
        <v>0</v>
      </c>
      <c r="BI14" s="118" t="str">
        <f>Tournament!N25</f>
        <v>Nigéria</v>
      </c>
    </row>
    <row r="15" spans="1:61">
      <c r="I15" s="117"/>
      <c r="S15" s="117"/>
      <c r="AF15" s="117"/>
      <c r="AO15" s="118">
        <v>12</v>
      </c>
      <c r="AP15" s="118" t="str">
        <f>IF(AND(Tournament!J25&lt;&gt;"",Tournament!L25&lt;&gt;""),IF(Tournament!J25&gt;Tournament!L25,Tournament!H25,""),"")</f>
        <v/>
      </c>
      <c r="AQ15" s="118" t="str">
        <f>IF(AND(Tournament!J25&lt;&gt;"",Tournament!L25&lt;&gt;""),IF(Tournament!J25=Tournament!L25,Tournament!H25,""),"")</f>
        <v>Irán</v>
      </c>
      <c r="AR15" s="118" t="str">
        <f>IF(AND(Tournament!J25&lt;&gt;"",Tournament!L25&lt;&gt;""),IF(Tournament!J25&gt;Tournament!L25,Tournament!N25,""),"")</f>
        <v/>
      </c>
      <c r="AS15" s="118">
        <f>IF(AND(Tournament!J25&lt;&gt;"",Tournament!L25&lt;&gt;""),Tournament!J25,0)</f>
        <v>0</v>
      </c>
      <c r="AT15" s="118" t="str">
        <f>IF(AND(Tournament!J25&lt;&gt;"",Tournament!L25&lt;&gt;""),IF(Tournament!J25&lt;Tournament!L25,Tournament!N25,""),"")</f>
        <v/>
      </c>
      <c r="AU15" s="118" t="str">
        <f>IF(AND(Tournament!J25&lt;&gt;"",Tournament!L25&lt;&gt;""),IF(Tournament!J25=Tournament!L25,Tournament!N25,""),"")</f>
        <v>Nigéria</v>
      </c>
      <c r="AV15" s="118" t="str">
        <f>IF(AND(Tournament!J25&lt;&gt;"",Tournament!L25&lt;&gt;""),IF(Tournament!J25&lt;Tournament!L25,Tournament!H25,""),"")</f>
        <v/>
      </c>
      <c r="AW15" s="118">
        <f>IF(AND(Tournament!J25&lt;&gt;"",Tournament!L25&lt;&gt;""),Tournament!L25,0)</f>
        <v>0</v>
      </c>
      <c r="AX15" s="118">
        <v>1</v>
      </c>
      <c r="AY15" s="118" t="str">
        <f t="shared" si="1"/>
        <v/>
      </c>
      <c r="AZ15" s="118" t="str">
        <f t="shared" si="2"/>
        <v/>
      </c>
      <c r="BA15" s="118" t="str">
        <f t="shared" si="3"/>
        <v/>
      </c>
      <c r="BB15" s="118" t="str">
        <f t="shared" si="4"/>
        <v/>
      </c>
      <c r="BC15" s="118" t="str">
        <f t="shared" si="5"/>
        <v/>
      </c>
      <c r="BD15" s="118" t="str">
        <f t="shared" si="6"/>
        <v/>
      </c>
      <c r="BE15" s="118">
        <v>13</v>
      </c>
      <c r="BF15" s="118" t="str">
        <f>Tournament!H26</f>
        <v>Németország</v>
      </c>
      <c r="BG15" s="118">
        <f>IF(AND(Tournament!J26&lt;&gt;"",Tournament!L26&lt;&gt;""),Tournament!J26,"")</f>
        <v>4</v>
      </c>
      <c r="BH15" s="118">
        <f>IF(AND(Tournament!L26&lt;&gt;"",Tournament!J26&lt;&gt;""),Tournament!L26,"")</f>
        <v>0</v>
      </c>
      <c r="BI15" s="118" t="str">
        <f>Tournament!N26</f>
        <v>Portugália</v>
      </c>
    </row>
    <row r="16" spans="1:61">
      <c r="I16" s="117"/>
      <c r="S16" s="117"/>
      <c r="AF16" s="117"/>
      <c r="AO16" s="118">
        <v>13</v>
      </c>
      <c r="AP16" s="118" t="str">
        <f>IF(AND(Tournament!J26&lt;&gt;"",Tournament!L26&lt;&gt;""),IF(Tournament!J26&gt;Tournament!L26,Tournament!H26,""),"")</f>
        <v>Németország</v>
      </c>
      <c r="AQ16" s="118" t="str">
        <f>IF(AND(Tournament!J26&lt;&gt;"",Tournament!L26&lt;&gt;""),IF(Tournament!J26=Tournament!L26,Tournament!H26,""),"")</f>
        <v/>
      </c>
      <c r="AR16" s="118" t="str">
        <f>IF(AND(Tournament!J26&lt;&gt;"",Tournament!L26&lt;&gt;""),IF(Tournament!J26&gt;Tournament!L26,Tournament!N26,""),"")</f>
        <v>Portugália</v>
      </c>
      <c r="AS16" s="118">
        <f>IF(AND(Tournament!J26&lt;&gt;"",Tournament!L26&lt;&gt;""),Tournament!J26,0)</f>
        <v>4</v>
      </c>
      <c r="AT16" s="118" t="str">
        <f>IF(AND(Tournament!J26&lt;&gt;"",Tournament!L26&lt;&gt;""),IF(Tournament!J26&lt;Tournament!L26,Tournament!N26,""),"")</f>
        <v/>
      </c>
      <c r="AU16" s="118" t="str">
        <f>IF(AND(Tournament!J26&lt;&gt;"",Tournament!L26&lt;&gt;""),IF(Tournament!J26=Tournament!L26,Tournament!N26,""),"")</f>
        <v/>
      </c>
      <c r="AV16" s="118" t="str">
        <f>IF(AND(Tournament!J26&lt;&gt;"",Tournament!L26&lt;&gt;""),IF(Tournament!J26&lt;Tournament!L26,Tournament!H26,""),"")</f>
        <v/>
      </c>
      <c r="AW16" s="118">
        <f>IF(AND(Tournament!J26&lt;&gt;"",Tournament!L26&lt;&gt;""),Tournament!L26,0)</f>
        <v>0</v>
      </c>
      <c r="AX16" s="118">
        <v>1</v>
      </c>
      <c r="AY16" s="118" t="str">
        <f t="shared" si="1"/>
        <v/>
      </c>
      <c r="AZ16" s="118" t="str">
        <f t="shared" si="2"/>
        <v/>
      </c>
      <c r="BA16" s="118" t="str">
        <f t="shared" si="3"/>
        <v/>
      </c>
      <c r="BB16" s="118" t="str">
        <f t="shared" si="4"/>
        <v/>
      </c>
      <c r="BC16" s="118" t="str">
        <f t="shared" si="5"/>
        <v/>
      </c>
      <c r="BD16" s="118" t="str">
        <f t="shared" si="6"/>
        <v/>
      </c>
      <c r="BE16" s="118">
        <v>14</v>
      </c>
      <c r="BF16" s="118" t="str">
        <f>Tournament!H27</f>
        <v>Ghána</v>
      </c>
      <c r="BG16" s="118">
        <f>IF(AND(Tournament!J27&lt;&gt;"",Tournament!L27&lt;&gt;""),Tournament!J27,"")</f>
        <v>1</v>
      </c>
      <c r="BH16" s="118">
        <f>IF(AND(Tournament!L27&lt;&gt;"",Tournament!J27&lt;&gt;""),Tournament!L27,"")</f>
        <v>2</v>
      </c>
      <c r="BI16" s="118" t="str">
        <f>Tournament!N27</f>
        <v>Egyesült Államok</v>
      </c>
    </row>
    <row r="17" spans="1:61">
      <c r="I17" s="117"/>
      <c r="S17" s="117"/>
      <c r="AF17" s="117"/>
      <c r="AO17" s="118">
        <v>14</v>
      </c>
      <c r="AP17" s="118" t="str">
        <f>IF(AND(Tournament!J27&lt;&gt;"",Tournament!L27&lt;&gt;""),IF(Tournament!J27&gt;Tournament!L27,Tournament!H27,""),"")</f>
        <v/>
      </c>
      <c r="AQ17" s="118" t="str">
        <f>IF(AND(Tournament!J27&lt;&gt;"",Tournament!L27&lt;&gt;""),IF(Tournament!J27=Tournament!L27,Tournament!H27,""),"")</f>
        <v/>
      </c>
      <c r="AR17" s="118" t="str">
        <f>IF(AND(Tournament!J27&lt;&gt;"",Tournament!L27&lt;&gt;""),IF(Tournament!J27&gt;Tournament!L27,Tournament!N27,""),"")</f>
        <v/>
      </c>
      <c r="AS17" s="118">
        <f>IF(AND(Tournament!J27&lt;&gt;"",Tournament!L27&lt;&gt;""),Tournament!J27,0)</f>
        <v>1</v>
      </c>
      <c r="AT17" s="118" t="str">
        <f>IF(AND(Tournament!J27&lt;&gt;"",Tournament!L27&lt;&gt;""),IF(Tournament!J27&lt;Tournament!L27,Tournament!N27,""),"")</f>
        <v>Egyesült Államok</v>
      </c>
      <c r="AU17" s="118" t="str">
        <f>IF(AND(Tournament!J27&lt;&gt;"",Tournament!L27&lt;&gt;""),IF(Tournament!J27=Tournament!L27,Tournament!N27,""),"")</f>
        <v/>
      </c>
      <c r="AV17" s="118" t="str">
        <f>IF(AND(Tournament!J27&lt;&gt;"",Tournament!L27&lt;&gt;""),IF(Tournament!J27&lt;Tournament!L27,Tournament!H27,""),"")</f>
        <v>Ghána</v>
      </c>
      <c r="AW17" s="118">
        <f>IF(AND(Tournament!J27&lt;&gt;"",Tournament!L27&lt;&gt;""),Tournament!L27,0)</f>
        <v>2</v>
      </c>
      <c r="AX17" s="118">
        <v>1</v>
      </c>
      <c r="AY17" s="118" t="str">
        <f t="shared" si="1"/>
        <v/>
      </c>
      <c r="AZ17" s="118" t="str">
        <f t="shared" si="2"/>
        <v/>
      </c>
      <c r="BA17" s="118" t="str">
        <f t="shared" si="3"/>
        <v/>
      </c>
      <c r="BB17" s="118" t="str">
        <f t="shared" si="4"/>
        <v/>
      </c>
      <c r="BC17" s="118" t="str">
        <f t="shared" si="5"/>
        <v/>
      </c>
      <c r="BD17" s="118" t="str">
        <f t="shared" si="6"/>
        <v/>
      </c>
      <c r="BE17" s="118">
        <v>15</v>
      </c>
      <c r="BF17" s="118" t="str">
        <f>Tournament!H28</f>
        <v>Belgium</v>
      </c>
      <c r="BG17" s="118">
        <f>IF(AND(Tournament!J28&lt;&gt;"",Tournament!L28&lt;&gt;""),Tournament!J28,"")</f>
        <v>2</v>
      </c>
      <c r="BH17" s="118">
        <f>IF(AND(Tournament!L28&lt;&gt;"",Tournament!J28&lt;&gt;""),Tournament!L28,"")</f>
        <v>1</v>
      </c>
      <c r="BI17" s="118" t="str">
        <f>Tournament!N28</f>
        <v>Algéria</v>
      </c>
    </row>
    <row r="18" spans="1:61">
      <c r="A18" s="118">
        <f>K18+L18+M18+N18</f>
        <v>1</v>
      </c>
      <c r="B18" s="118" t="str">
        <f>Tournament!H18</f>
        <v>Colombia</v>
      </c>
      <c r="C18" s="118">
        <f>SUMIF(AP$4:AP$60,B18,AX$4:AX$60)+SUMIF(AT$4:AT$60,B18,AX$4:AX$60)</f>
        <v>3</v>
      </c>
      <c r="D18" s="118">
        <f>SUMIF(AQ$4:AQ$60,B18,AX$4:AX$60)+SUMIF(AU$4:AU$60,B18,AX$4:AX$60)</f>
        <v>0</v>
      </c>
      <c r="E18" s="118">
        <f>SUMIF(AR$4:AR$60,B18,AX$4:AX$60)+SUMIF(AV$4:AV$60,B18,AX$4:AX$60)</f>
        <v>0</v>
      </c>
      <c r="F18" s="118">
        <f>SUMIF($BF$3:$BF$60,B18,$BG$3:$BG$60)+SUMIF($BI$3:$BI$60,B18,$BH$3:$BH$60)</f>
        <v>9</v>
      </c>
      <c r="G18" s="118">
        <f>SUMIF($BI$3:$BI$60,B18,$BG$3:$BG$60)+SUMIF($BF$3:$BF$60,B18,$BH$3:$BH$60)</f>
        <v>2</v>
      </c>
      <c r="H18" s="118">
        <f>F18-G18+100</f>
        <v>107</v>
      </c>
      <c r="I18" s="117">
        <f>C18*3+D18</f>
        <v>9</v>
      </c>
      <c r="J18" s="118">
        <v>4</v>
      </c>
      <c r="K18" s="118">
        <f>RANK(I18,I$18:I$21)</f>
        <v>1</v>
      </c>
      <c r="L18" s="118">
        <f>SUMPRODUCT((I$18:I$21=I18)*(H$18:H$21&gt;H18))</f>
        <v>0</v>
      </c>
      <c r="M18" s="118">
        <f>SUMPRODUCT((I$18:I$21=I18)*(H$18:H$21=H18)*(F$18:F$21&gt;F18))</f>
        <v>0</v>
      </c>
      <c r="N18" s="118">
        <f>SUMPRODUCT((I$18:I$21=I18)*(H$18:H$21=H18)*(F$18:F$21=F18)*(J$18:J$21&lt;J18))</f>
        <v>0</v>
      </c>
      <c r="O18" s="118">
        <f>IF(SUM(AG18:AI21)=0,IF(COUNTIF(AJ18:AJ21,0)&gt;1,1,AJ18+1),X18)</f>
        <v>1</v>
      </c>
      <c r="P18" s="118" t="str">
        <f>VLOOKUP(1,A$18:B$21,2,FALSE)</f>
        <v>Colombia</v>
      </c>
      <c r="Q18" s="118">
        <f>SUMIF(B$4:B$60,P18,F$4:F$60)</f>
        <v>9</v>
      </c>
      <c r="R18" s="118">
        <f>SUMIF(B$4:B$60,P18,H$4:H$60)</f>
        <v>107</v>
      </c>
      <c r="S18" s="117">
        <f>SUMIF($B$4:$B$60,$P18,I$4:I$60)</f>
        <v>9</v>
      </c>
      <c r="T18" s="118">
        <f>SUMIF($B$4:$B$60,$P18,A$4:A$60)</f>
        <v>1</v>
      </c>
      <c r="U18" s="118">
        <f t="shared" ref="U18:V21" si="8">SUMIF($B$4:$B$60,$P18,L$4:L$60)</f>
        <v>0</v>
      </c>
      <c r="V18" s="118">
        <f t="shared" si="8"/>
        <v>0</v>
      </c>
      <c r="W18" s="118">
        <f>SUMIF($B$4:$B$60,$P18,J$4:J$60)</f>
        <v>4</v>
      </c>
      <c r="X18" s="118">
        <f>IF(Y18=0,T18,T18+AG18+AH18+AI18)</f>
        <v>1</v>
      </c>
      <c r="Y18" s="118">
        <f>IF(AND(S18=S19,R18=R19,Q18=Q19),P18,0)</f>
        <v>0</v>
      </c>
      <c r="Z18" s="118">
        <f>SUMIF($AY$4:$AY$60,$Y18,$AX$4:$AX$60)+SUMIF($BB$4:$BB$60,$Y18,$AX$4:$AX$60)</f>
        <v>0</v>
      </c>
      <c r="AA18" s="118">
        <f>SUMIF($AZ$4:$AZ$60,$Y18,$AX$4:$AX$60)+SUMIF($BC$4:$BC$60,$Y18,$AX$4:$AX$60)</f>
        <v>0</v>
      </c>
      <c r="AB18" s="118">
        <f>SUMIF($BA$4:$BA$60,$Y18,$AX$4:$AX$60)+SUMIF($BD$4:$BD$60,$Y18,$AX$4:$AX$60)</f>
        <v>0</v>
      </c>
      <c r="AC18" s="118">
        <f>SUMIF(AY$4:AY$60,Y18,AS$4:AS$60)+SUMIF(BB$4:BB$60,Y18,AW$4:AW$60)+SUMIF(AZ$4:AZ$60,Y18,AS$4:AS$60)+SUMIF(BC$4:BC$60,Y18,AW$4:AW$60)</f>
        <v>0</v>
      </c>
      <c r="AD18" s="118">
        <f>SUMIF(BA$4:BA$60,Y18,AS$4:AS$60)+SUMIF(BD$4:BD$60,Y18,AW$4:AW$60)+SUMIF(AZ$4:AZ$60,Y18,AS$4:AS$60)+SUMIF(BC$4:BC$60,Y18,AW$4:AW$60)</f>
        <v>0</v>
      </c>
      <c r="AE18" s="118">
        <f>AC18-AD18+100</f>
        <v>100</v>
      </c>
      <c r="AF18" s="117" t="str">
        <f>IF(Y18&lt;&gt;0,Z18*3+AA18,"")</f>
        <v/>
      </c>
      <c r="AG18" s="118">
        <f>IF(Y18&lt;&gt;0,RANK(AF18,AF$18:AF$21)-1,5)</f>
        <v>5</v>
      </c>
      <c r="AH18" s="118">
        <f>IF(Y18&lt;&gt;0,SUMPRODUCT((AF$18:AF$21=AF18)*(AE$18:AE$21&gt;AE18)),5)</f>
        <v>5</v>
      </c>
      <c r="AI18" s="118">
        <f>IF(Y18&lt;&gt;0,SUMPRODUCT((AF$18:AF$21=AF18)*(AE$18:AE$21=AE18)*(AC$18:AC$21&gt;AC18)),5)</f>
        <v>5</v>
      </c>
      <c r="AJ18" s="118">
        <f>IF(Y18&lt;&gt;0,SUMPRODUCT(($AF18:$AF21=AF18)*($AE18:$AE21=AE18)*($AC18:$AC21=AC18)*($AK18:$AK21&lt;AK18)),5)</f>
        <v>5</v>
      </c>
      <c r="AK18" s="118">
        <f>IF(AL18=0,0,VLOOKUP(Y18,Tournament!AE$25:AF$28,2,FALSE))</f>
        <v>0</v>
      </c>
      <c r="AL18" s="118">
        <f>IF(Y18&lt;&gt;0,IF(SUM(AG18:AI18)=SUM(AG19:AI19),1,0),0)</f>
        <v>0</v>
      </c>
      <c r="AM18" s="118">
        <f>IF(AN18&lt;&gt;0,1,0)</f>
        <v>0</v>
      </c>
      <c r="AN18" s="118">
        <f>IF(AL18=1,Y18,0)</f>
        <v>0</v>
      </c>
      <c r="AO18" s="118">
        <v>15</v>
      </c>
      <c r="AP18" s="118" t="str">
        <f>IF(AND(Tournament!J28&lt;&gt;"",Tournament!L28&lt;&gt;""),IF(Tournament!J28&gt;Tournament!L28,Tournament!H28,""),"")</f>
        <v>Belgium</v>
      </c>
      <c r="AQ18" s="118" t="str">
        <f>IF(AND(Tournament!J28&lt;&gt;"",Tournament!L28&lt;&gt;""),IF(Tournament!J28=Tournament!L28,Tournament!H28,""),"")</f>
        <v/>
      </c>
      <c r="AR18" s="118" t="str">
        <f>IF(AND(Tournament!J28&lt;&gt;"",Tournament!L28&lt;&gt;""),IF(Tournament!J28&gt;Tournament!L28,Tournament!N28,""),"")</f>
        <v>Algéria</v>
      </c>
      <c r="AS18" s="118">
        <f>IF(AND(Tournament!J28&lt;&gt;"",Tournament!L28&lt;&gt;""),Tournament!J28,0)</f>
        <v>2</v>
      </c>
      <c r="AT18" s="118" t="str">
        <f>IF(AND(Tournament!J28&lt;&gt;"",Tournament!L28&lt;&gt;""),IF(Tournament!J28&lt;Tournament!L28,Tournament!N28,""),"")</f>
        <v/>
      </c>
      <c r="AU18" s="118" t="str">
        <f>IF(AND(Tournament!J28&lt;&gt;"",Tournament!L28&lt;&gt;""),IF(Tournament!J28=Tournament!L28,Tournament!N28,""),"")</f>
        <v/>
      </c>
      <c r="AV18" s="118" t="str">
        <f>IF(AND(Tournament!J28&lt;&gt;"",Tournament!L28&lt;&gt;""),IF(Tournament!J28&lt;Tournament!L28,Tournament!H28,""),"")</f>
        <v/>
      </c>
      <c r="AW18" s="118">
        <f>IF(AND(Tournament!J28&lt;&gt;"",Tournament!L28&lt;&gt;""),Tournament!L28,0)</f>
        <v>1</v>
      </c>
      <c r="AX18" s="118">
        <v>1</v>
      </c>
      <c r="AY18" s="118" t="str">
        <f t="shared" si="1"/>
        <v/>
      </c>
      <c r="AZ18" s="118" t="str">
        <f t="shared" si="2"/>
        <v/>
      </c>
      <c r="BA18" s="118" t="str">
        <f t="shared" si="3"/>
        <v/>
      </c>
      <c r="BB18" s="118" t="str">
        <f t="shared" si="4"/>
        <v/>
      </c>
      <c r="BC18" s="118" t="str">
        <f t="shared" si="5"/>
        <v/>
      </c>
      <c r="BD18" s="118" t="str">
        <f t="shared" si="6"/>
        <v/>
      </c>
      <c r="BE18" s="118">
        <v>16</v>
      </c>
      <c r="BF18" s="118" t="str">
        <f>Tournament!H29</f>
        <v>Oroszország</v>
      </c>
      <c r="BG18" s="118">
        <f>IF(AND(Tournament!J29&lt;&gt;"",Tournament!L29&lt;&gt;""),Tournament!J29,"")</f>
        <v>1</v>
      </c>
      <c r="BH18" s="118">
        <f>IF(AND(Tournament!L29&lt;&gt;"",Tournament!J29&lt;&gt;""),Tournament!L29,"")</f>
        <v>1</v>
      </c>
      <c r="BI18" s="118" t="str">
        <f>Tournament!N29</f>
        <v>Dél-Kórea</v>
      </c>
    </row>
    <row r="19" spans="1:61">
      <c r="A19" s="118">
        <f>K19+L19+M19+N19</f>
        <v>2</v>
      </c>
      <c r="B19" s="118" t="str">
        <f>Tournament!N18</f>
        <v>Görögország</v>
      </c>
      <c r="C19" s="118">
        <f>SUMIF(AP$4:AP$60,B19,AX$4:AX$60)+SUMIF(AT$4:AT$60,B19,AX$4:AX$60)</f>
        <v>1</v>
      </c>
      <c r="D19" s="118">
        <f>SUMIF(AQ$4:AQ$60,B19,AX$4:AX$60)+SUMIF(AU$4:AU$60,B19,AX$4:AX$60)</f>
        <v>1</v>
      </c>
      <c r="E19" s="118">
        <f>SUMIF(AR$4:AR$60,B19,AX$4:AX$60)+SUMIF(AV$4:AV$60,B19,AX$4:AX$60)</f>
        <v>1</v>
      </c>
      <c r="F19" s="118">
        <f>SUMIF($BF$3:$BF$60,B19,$BG$3:$BG$60)+SUMIF($BI$3:$BI$60,B19,$BH$3:$BH$60)</f>
        <v>2</v>
      </c>
      <c r="G19" s="118">
        <f>SUMIF($BI$3:$BI$60,B19,$BG$3:$BG$60)+SUMIF($BF$3:$BF$60,B19,$BH$3:$BH$60)</f>
        <v>4</v>
      </c>
      <c r="H19" s="118">
        <f>F19-G19+100</f>
        <v>98</v>
      </c>
      <c r="I19" s="117">
        <f>C19*3+D19</f>
        <v>4</v>
      </c>
      <c r="J19" s="118">
        <v>15</v>
      </c>
      <c r="K19" s="118">
        <f>RANK(I19,I$18:I$21)</f>
        <v>2</v>
      </c>
      <c r="L19" s="118">
        <f>SUMPRODUCT((I$18:I$21=I19)*(H$18:H$21&gt;H19))</f>
        <v>0</v>
      </c>
      <c r="M19" s="118">
        <f>SUMPRODUCT((I$18:I$21=I19)*(H$18:H$21=H19)*(F$18:F$21&gt;F19))</f>
        <v>0</v>
      </c>
      <c r="N19" s="118">
        <f>SUMPRODUCT((I$18:I$21=I19)*(H$18:H$21=H19)*(F$18:F$21=F19)*(J$18:J$21&lt;J19))</f>
        <v>0</v>
      </c>
      <c r="O19" s="118">
        <f>IF(SUM(AG18:AI21)=0,IF(COUNTIF(AJ18:AJ21,0)&gt;1,2,AJ19+1),IF(AND(X18=1,X19=3,Y18&lt;&gt;0,Y19&lt;&gt;0,Y20=0,Y21=0),2,IF(AND(X18=2,X19=2,Y18&lt;&gt;0,Y19&lt;&gt;0,Y20=0,Y21=0),1,X19)))</f>
        <v>2</v>
      </c>
      <c r="P19" s="118" t="str">
        <f>VLOOKUP(2,A$18:B$21,2,FALSE)</f>
        <v>Görögország</v>
      </c>
      <c r="Q19" s="118">
        <f>SUMIF(B$4:B$60,P19,F$4:F$60)</f>
        <v>2</v>
      </c>
      <c r="R19" s="118">
        <f>SUMIF(B$4:B$60,P19,H$4:H$60)</f>
        <v>98</v>
      </c>
      <c r="S19" s="117">
        <f>SUMIF($B$4:$B$60,$P19,I$4:I$60)</f>
        <v>4</v>
      </c>
      <c r="T19" s="118">
        <f>SUMIF($B$4:$B$60,$P19,A$4:A$60)</f>
        <v>2</v>
      </c>
      <c r="U19" s="118">
        <f t="shared" si="8"/>
        <v>0</v>
      </c>
      <c r="V19" s="118">
        <f t="shared" si="8"/>
        <v>0</v>
      </c>
      <c r="W19" s="118">
        <f>SUMIF($B$4:$B$60,$P19,J$4:J$60)</f>
        <v>15</v>
      </c>
      <c r="X19" s="118">
        <f>IF(Y19=0,T19,T19+AG19+AH19+AI19)</f>
        <v>2</v>
      </c>
      <c r="Y19" s="118">
        <f>IF(OR(AND(S18=S19,R18=R19,Q18=Q19),AND(S20=S19,R20=R19,Q20=Q19)),P19,0)</f>
        <v>0</v>
      </c>
      <c r="Z19" s="118">
        <f>SUMIF($AY$4:$AY$60,$Y19,$AX$4:$AX$60)+SUMIF($BB$4:$BB$60,$Y19,$AX$4:$AX$60)</f>
        <v>0</v>
      </c>
      <c r="AA19" s="118">
        <f>SUMIF($AZ$4:$AZ$60,$Y19,$AX$4:$AX$60)+SUMIF($BC$4:$BC$60,$Y19,$AX$4:$AX$60)</f>
        <v>0</v>
      </c>
      <c r="AB19" s="118">
        <f>SUMIF($BA$4:$BA$60,$Y19,$AX$4:$AX$60)+SUMIF($BD$4:$BD$60,$Y19,$AX$4:$AX$60)</f>
        <v>0</v>
      </c>
      <c r="AC19" s="118">
        <f>SUMIF(AY$4:AY$60,Y19,AS$4:AS$60)+SUMIF(BB$4:BB$60,Y19,AW$4:AW$60)+SUMIF(AZ$4:AZ$60,Y19,AS$4:AS$60)+SUMIF(BC$4:BC$60,Y19,AW$4:AW$60)</f>
        <v>0</v>
      </c>
      <c r="AD19" s="118">
        <f>SUMIF(BA$4:BA$60,Y19,AS$4:AS$60)+SUMIF(BD$4:BD$60,Y19,AW$4:AW$60)+SUMIF(AZ$4:AZ$60,Y19,AS$4:AS$60)+SUMIF(BC$4:BC$60,Y19,AW$4:AW$60)</f>
        <v>0</v>
      </c>
      <c r="AE19" s="118">
        <f>AC19-AD19+100</f>
        <v>100</v>
      </c>
      <c r="AF19" s="117" t="str">
        <f>IF(Y19&lt;&gt;0,Z19*3+AA19,"")</f>
        <v/>
      </c>
      <c r="AG19" s="118">
        <f>IF(Y19&lt;&gt;0,RANK(AF19,AF$18:AF$21)-1,5)</f>
        <v>5</v>
      </c>
      <c r="AH19" s="118">
        <f>IF(Y19&lt;&gt;0,SUMPRODUCT((AF$18:AF$21=AF19)*(AE$18:AE$21&gt;AE19)),5)</f>
        <v>5</v>
      </c>
      <c r="AI19" s="118">
        <f>IF(Y19&lt;&gt;0,SUMPRODUCT((AF$18:AF$21=AF19)*(AE$18:AE$21=AE19)*(AC$18:AC$21&gt;AC19)),5)</f>
        <v>5</v>
      </c>
      <c r="AJ19" s="118">
        <f>IF(Y19&lt;&gt;0,SUMPRODUCT(($AF18:$AF21=AF19)*($AE18:$AE21=AE19)*($AC18:$AC21=AC19)*($AK18:$AK21&lt;AK19)),5)</f>
        <v>5</v>
      </c>
      <c r="AK19" s="118">
        <f>IF(AL19=0,0,VLOOKUP(Y19,Tournament!AE$25:AF$28,2,FALSE))</f>
        <v>0</v>
      </c>
      <c r="AL19" s="118">
        <f>IF(Y19&lt;&gt;0,IF(OR(SUM(AG19:AI19)=SUM(AG18:AI18),SUM(AG19:AI19)=SUM(AG20:AI20)),1,0),0)</f>
        <v>0</v>
      </c>
      <c r="AM19" s="118">
        <f>IF(AN19&lt;&gt;0,AM18+1,AM18)</f>
        <v>0</v>
      </c>
      <c r="AN19" s="118">
        <f>IF(AL19=1,Y19,0)</f>
        <v>0</v>
      </c>
      <c r="AO19" s="118">
        <v>16</v>
      </c>
      <c r="AP19" s="118" t="str">
        <f>IF(AND(Tournament!J29&lt;&gt;"",Tournament!L29&lt;&gt;""),IF(Tournament!J29&gt;Tournament!L29,Tournament!H29,""),"")</f>
        <v/>
      </c>
      <c r="AQ19" s="118" t="str">
        <f>IF(AND(Tournament!J29&lt;&gt;"",Tournament!L29&lt;&gt;""),IF(Tournament!J29=Tournament!L29,Tournament!H29,""),"")</f>
        <v>Oroszország</v>
      </c>
      <c r="AR19" s="118" t="str">
        <f>IF(AND(Tournament!J29&lt;&gt;"",Tournament!L29&lt;&gt;""),IF(Tournament!J29&gt;Tournament!L29,Tournament!N29,""),"")</f>
        <v/>
      </c>
      <c r="AS19" s="118">
        <f>IF(AND(Tournament!J29&lt;&gt;"",Tournament!L29&lt;&gt;""),Tournament!J29,0)</f>
        <v>1</v>
      </c>
      <c r="AT19" s="118" t="str">
        <f>IF(AND(Tournament!J29&lt;&gt;"",Tournament!L29&lt;&gt;""),IF(Tournament!J29&lt;Tournament!L29,Tournament!N29,""),"")</f>
        <v/>
      </c>
      <c r="AU19" s="118" t="str">
        <f>IF(AND(Tournament!J29&lt;&gt;"",Tournament!L29&lt;&gt;""),IF(Tournament!J29=Tournament!L29,Tournament!N29,""),"")</f>
        <v>Dél-Kórea</v>
      </c>
      <c r="AV19" s="118" t="str">
        <f>IF(AND(Tournament!J29&lt;&gt;"",Tournament!L29&lt;&gt;""),IF(Tournament!J29&lt;Tournament!L29,Tournament!H29,""),"")</f>
        <v/>
      </c>
      <c r="AW19" s="118">
        <f>IF(AND(Tournament!J29&lt;&gt;"",Tournament!L29&lt;&gt;""),Tournament!L29,0)</f>
        <v>1</v>
      </c>
      <c r="AX19" s="118">
        <v>1</v>
      </c>
      <c r="AY19" s="118" t="str">
        <f t="shared" si="1"/>
        <v/>
      </c>
      <c r="AZ19" s="118" t="str">
        <f t="shared" si="2"/>
        <v/>
      </c>
      <c r="BA19" s="118" t="str">
        <f t="shared" si="3"/>
        <v/>
      </c>
      <c r="BB19" s="118" t="str">
        <f t="shared" si="4"/>
        <v/>
      </c>
      <c r="BC19" s="118" t="str">
        <f t="shared" si="5"/>
        <v/>
      </c>
      <c r="BD19" s="118" t="str">
        <f t="shared" si="6"/>
        <v/>
      </c>
      <c r="BE19" s="118">
        <v>17</v>
      </c>
      <c r="BF19" s="118" t="str">
        <f>Tournament!H30</f>
        <v>Brazília</v>
      </c>
      <c r="BG19" s="118">
        <f>IF(AND(Tournament!J30&lt;&gt;"",Tournament!L30&lt;&gt;""),Tournament!J30,"")</f>
        <v>0</v>
      </c>
      <c r="BH19" s="118">
        <f>IF(AND(Tournament!L30&lt;&gt;"",Tournament!J30&lt;&gt;""),Tournament!L30,"")</f>
        <v>0</v>
      </c>
      <c r="BI19" s="118" t="str">
        <f>Tournament!N30</f>
        <v>Mexikó</v>
      </c>
    </row>
    <row r="20" spans="1:61">
      <c r="A20" s="118">
        <f>K20+L20+M20+N20</f>
        <v>3</v>
      </c>
      <c r="B20" s="118" t="str">
        <f>Tournament!H19</f>
        <v>Elefántcsontpart</v>
      </c>
      <c r="C20" s="118">
        <f>SUMIF(AP$4:AP$60,B20,AX$4:AX$60)+SUMIF(AT$4:AT$60,B20,AX$4:AX$60)</f>
        <v>1</v>
      </c>
      <c r="D20" s="118">
        <f>SUMIF(AQ$4:AQ$60,B20,AX$4:AX$60)+SUMIF(AU$4:AU$60,B20,AX$4:AX$60)</f>
        <v>0</v>
      </c>
      <c r="E20" s="118">
        <f>SUMIF(AR$4:AR$60,B20,AX$4:AX$60)+SUMIF(AV$4:AV$60,B20,AX$4:AX$60)</f>
        <v>2</v>
      </c>
      <c r="F20" s="118">
        <f>SUMIF($BF$3:$BF$60,B20,$BG$3:$BG$60)+SUMIF($BI$3:$BI$60,B20,$BH$3:$BH$60)</f>
        <v>4</v>
      </c>
      <c r="G20" s="118">
        <f>SUMIF($BI$3:$BI$60,B20,$BG$3:$BG$60)+SUMIF($BF$3:$BF$60,B20,$BH$3:$BH$60)</f>
        <v>5</v>
      </c>
      <c r="H20" s="118">
        <f>F20-G20+100</f>
        <v>99</v>
      </c>
      <c r="I20" s="117">
        <f>C20*3+D20</f>
        <v>3</v>
      </c>
      <c r="J20" s="118">
        <v>17</v>
      </c>
      <c r="K20" s="118">
        <f>RANK(I20,I$18:I$21)</f>
        <v>3</v>
      </c>
      <c r="L20" s="118">
        <f>SUMPRODUCT((I$18:I$21=I20)*(H$18:H$21&gt;H20))</f>
        <v>0</v>
      </c>
      <c r="M20" s="118">
        <f>SUMPRODUCT((I$18:I$21=I20)*(H$18:H$21=H20)*(F$18:F$21&gt;F20))</f>
        <v>0</v>
      </c>
      <c r="N20" s="118">
        <f>SUMPRODUCT((I$18:I$21=I20)*(H$18:H$21=H20)*(F$18:F$21=F20)*(J$18:J$21&lt;J20))</f>
        <v>0</v>
      </c>
      <c r="O20" s="118">
        <f>IF(SUM(AG18:AI21)=0,IF(COUNTIF(AJ18:AJ21,0)&gt;1,3,AJ20+1),IF(AND(X19=3,X20=3,Y19&lt;&gt;0,Y20&lt;&gt;0),2,IF(OR(X20=5,X20=4),3,IF(X20=6,4,X20))))</f>
        <v>3</v>
      </c>
      <c r="P20" s="118" t="str">
        <f>VLOOKUP(3,A$18:B$21,2,FALSE)</f>
        <v>Elefántcsontpart</v>
      </c>
      <c r="Q20" s="118">
        <f>SUMIF(B$4:B$60,P20,F$4:F$60)</f>
        <v>4</v>
      </c>
      <c r="R20" s="118">
        <f>SUMIF(B$4:B$60,P20,H$4:H$60)</f>
        <v>99</v>
      </c>
      <c r="S20" s="117">
        <f>SUMIF($B$4:$B$60,$P20,I$4:I$60)</f>
        <v>3</v>
      </c>
      <c r="T20" s="118">
        <f>SUMIF($B$4:$B$60,$P20,A$4:A$60)</f>
        <v>3</v>
      </c>
      <c r="U20" s="118">
        <f t="shared" si="8"/>
        <v>0</v>
      </c>
      <c r="V20" s="118">
        <f t="shared" si="8"/>
        <v>0</v>
      </c>
      <c r="W20" s="118">
        <f>SUMIF($B$4:$B$60,$P20,J$4:J$60)</f>
        <v>17</v>
      </c>
      <c r="X20" s="118">
        <f>IF(Y20=0,T20,T20+AG20+AH20+AI20)</f>
        <v>3</v>
      </c>
      <c r="Y20" s="118">
        <f>IF(OR(AND(S19=S20,R19=R20,Q19=Q20),AND(S21=S20,S20=S19,R21=R20,R20=R19,Q21=Q20,Q20=Q19)),P20,0)</f>
        <v>0</v>
      </c>
      <c r="Z20" s="118">
        <f>SUMIF($AY$4:$AY$60,$Y20,$AX$4:$AX$60)+SUMIF($BB$4:$BB$60,$Y20,$AX$4:$AX$60)</f>
        <v>0</v>
      </c>
      <c r="AA20" s="118">
        <f>SUMIF($AZ$4:$AZ$60,$Y20,$AX$4:$AX$60)+SUMIF($BC$4:$BC$60,$Y20,$AX$4:$AX$60)</f>
        <v>0</v>
      </c>
      <c r="AB20" s="118">
        <f>SUMIF($BA$4:$BA$60,$Y20,$AX$4:$AX$60)+SUMIF($BD$4:$BD$60,$Y20,$AX$4:$AX$60)</f>
        <v>0</v>
      </c>
      <c r="AC20" s="118">
        <f>SUMIF(AY$4:AY$60,Y20,AS$4:AS$60)+SUMIF(BB$4:BB$60,Y20,AW$4:AW$60)+SUMIF(AZ$4:AZ$60,Y20,AS$4:AS$60)+SUMIF(BC$4:BC$60,Y20,AW$4:AW$60)</f>
        <v>0</v>
      </c>
      <c r="AD20" s="118">
        <f>SUMIF(BA$4:BA$60,Y20,AS$4:AS$60)+SUMIF(BD$4:BD$60,Y20,AW$4:AW$60)+SUMIF(AZ$4:AZ$60,Y20,AS$4:AS$60)+SUMIF(BC$4:BC$60,Y20,AW$4:AW$60)</f>
        <v>0</v>
      </c>
      <c r="AE20" s="118">
        <f>AC20-AD20+100</f>
        <v>100</v>
      </c>
      <c r="AF20" s="117" t="str">
        <f>IF(Y20&lt;&gt;0,Z20*3+AA20,"")</f>
        <v/>
      </c>
      <c r="AG20" s="118">
        <f>IF(Y20&lt;&gt;0,RANK(AF20,AF$18:AF$21)-1,5)</f>
        <v>5</v>
      </c>
      <c r="AH20" s="118">
        <f>IF(Y20&lt;&gt;0,SUMPRODUCT((AF$18:AF$21=AF20)*(AE$18:AE$21&gt;AE20)),5)</f>
        <v>5</v>
      </c>
      <c r="AI20" s="118">
        <f>IF(Y20&lt;&gt;0,SUMPRODUCT((AF$18:AF$21=AF20)*(AE$18:AE$21=AE20)*(AC$18:AC$21&gt;AC20)),5)</f>
        <v>5</v>
      </c>
      <c r="AJ20" s="118">
        <f>IF(Y20&lt;&gt;0,SUMPRODUCT(($AF18:$AF21=AF20)*($AE18:$AE21=AE20)*($AC18:$AC21=AC20)*($AK18:$AK21&lt;AK20)),5)</f>
        <v>5</v>
      </c>
      <c r="AK20" s="118">
        <f>IF(AL20=0,0,VLOOKUP(Y20,Tournament!AE$25:AF$28,2,FALSE))</f>
        <v>0</v>
      </c>
      <c r="AL20" s="118">
        <f>IF(Y20&lt;&gt;0,IF(OR(SUM(AG20:AI20)=SUM(AG19:AI19),SUM(AG20:AI20)=SUM(AG21:AI21)),1,0),0)</f>
        <v>0</v>
      </c>
      <c r="AM20" s="118">
        <f>IF(AN20&lt;&gt;0,AM19+1,AM19)</f>
        <v>0</v>
      </c>
      <c r="AN20" s="118">
        <f>IF(AL20=1,Y20,0)</f>
        <v>0</v>
      </c>
      <c r="AO20" s="118">
        <v>17</v>
      </c>
      <c r="AP20" s="118" t="str">
        <f>IF(AND(Tournament!J30&lt;&gt;"",Tournament!L30&lt;&gt;""),IF(Tournament!J30&gt;Tournament!L30,Tournament!H30,""),"")</f>
        <v/>
      </c>
      <c r="AQ20" s="118" t="str">
        <f>IF(AND(Tournament!J30&lt;&gt;"",Tournament!L30&lt;&gt;""),IF(Tournament!J30=Tournament!L30,Tournament!H30,""),"")</f>
        <v>Brazília</v>
      </c>
      <c r="AR20" s="118" t="str">
        <f>IF(AND(Tournament!J30&lt;&gt;"",Tournament!L30&lt;&gt;""),IF(Tournament!J30&gt;Tournament!L30,Tournament!N30,""),"")</f>
        <v/>
      </c>
      <c r="AS20" s="118">
        <f>IF(AND(Tournament!J30&lt;&gt;"",Tournament!L30&lt;&gt;""),Tournament!J30,0)</f>
        <v>0</v>
      </c>
      <c r="AT20" s="118" t="str">
        <f>IF(AND(Tournament!J30&lt;&gt;"",Tournament!L30&lt;&gt;""),IF(Tournament!J30&lt;Tournament!L30,Tournament!N30,""),"")</f>
        <v/>
      </c>
      <c r="AU20" s="118" t="str">
        <f>IF(AND(Tournament!J30&lt;&gt;"",Tournament!L30&lt;&gt;""),IF(Tournament!J30=Tournament!L30,Tournament!N30,""),"")</f>
        <v>Mexikó</v>
      </c>
      <c r="AV20" s="118" t="str">
        <f>IF(AND(Tournament!J30&lt;&gt;"",Tournament!L30&lt;&gt;""),IF(Tournament!J30&lt;Tournament!L30,Tournament!H30,""),"")</f>
        <v/>
      </c>
      <c r="AW20" s="118">
        <f>IF(AND(Tournament!J30&lt;&gt;"",Tournament!L30&lt;&gt;""),Tournament!L30,0)</f>
        <v>0</v>
      </c>
      <c r="AX20" s="118">
        <v>1</v>
      </c>
      <c r="AY20" s="118" t="str">
        <f t="shared" si="1"/>
        <v/>
      </c>
      <c r="AZ20" s="118" t="str">
        <f t="shared" si="2"/>
        <v/>
      </c>
      <c r="BA20" s="118" t="str">
        <f t="shared" si="3"/>
        <v/>
      </c>
      <c r="BB20" s="118" t="str">
        <f t="shared" si="4"/>
        <v/>
      </c>
      <c r="BC20" s="118" t="str">
        <f t="shared" si="5"/>
        <v/>
      </c>
      <c r="BD20" s="118" t="str">
        <f t="shared" si="6"/>
        <v/>
      </c>
      <c r="BE20" s="118">
        <v>18</v>
      </c>
      <c r="BF20" s="118" t="str">
        <f>Tournament!H31</f>
        <v>Kamerun</v>
      </c>
      <c r="BG20" s="118">
        <f>IF(AND(Tournament!J31&lt;&gt;"",Tournament!L31&lt;&gt;""),Tournament!J31,"")</f>
        <v>0</v>
      </c>
      <c r="BH20" s="118">
        <f>IF(AND(Tournament!L31&lt;&gt;"",Tournament!J31&lt;&gt;""),Tournament!L31,"")</f>
        <v>4</v>
      </c>
      <c r="BI20" s="118" t="str">
        <f>Tournament!N31</f>
        <v>Horvátország</v>
      </c>
    </row>
    <row r="21" spans="1:61">
      <c r="A21" s="118">
        <f>K21+L21+M21+N21</f>
        <v>4</v>
      </c>
      <c r="B21" s="118" t="str">
        <f>Tournament!N19</f>
        <v>Japán</v>
      </c>
      <c r="C21" s="118">
        <f>SUMIF(AP$4:AP$60,B21,AX$4:AX$60)+SUMIF(AT$4:AT$60,B21,AX$4:AX$60)</f>
        <v>0</v>
      </c>
      <c r="D21" s="118">
        <f>SUMIF(AQ$4:AQ$60,B21,AX$4:AX$60)+SUMIF(AU$4:AU$60,B21,AX$4:AX$60)</f>
        <v>1</v>
      </c>
      <c r="E21" s="118">
        <f>SUMIF(AR$4:AR$60,B21,AX$4:AX$60)+SUMIF(AV$4:AV$60,B21,AX$4:AX$60)</f>
        <v>2</v>
      </c>
      <c r="F21" s="118">
        <f>SUMIF($BF$3:$BF$60,B21,$BG$3:$BG$60)+SUMIF($BI$3:$BI$60,B21,$BH$3:$BH$60)</f>
        <v>2</v>
      </c>
      <c r="G21" s="118">
        <f>SUMIF($BI$3:$BI$60,B21,$BG$3:$BG$60)+SUMIF($BF$3:$BF$60,B21,$BH$3:$BH$60)</f>
        <v>6</v>
      </c>
      <c r="H21" s="118">
        <f>F21-G21+100</f>
        <v>96</v>
      </c>
      <c r="I21" s="117">
        <f>C21*3+D21</f>
        <v>1</v>
      </c>
      <c r="J21" s="118">
        <v>28</v>
      </c>
      <c r="K21" s="118">
        <f>RANK(I21,I$18:I$21)</f>
        <v>4</v>
      </c>
      <c r="L21" s="118">
        <f>SUMPRODUCT((I$18:I$21=I21)*(H$18:H$21&gt;H21))</f>
        <v>0</v>
      </c>
      <c r="M21" s="118">
        <f>SUMPRODUCT((I$18:I$21=I21)*(H$18:H$21=H21)*(F$18:F$21&gt;F21))</f>
        <v>0</v>
      </c>
      <c r="N21" s="118">
        <f>SUMPRODUCT((I$18:I$21=I21)*(H$18:H$21=H21)*(F$18:F$21=F21)*(J$18:J$21&lt;J21))</f>
        <v>0</v>
      </c>
      <c r="O21" s="118">
        <f>IF(SUM(AG18:AI21)=0,IF(COUNTIF(AJ18:AJ21,0)&gt;1,4,AJ21+1),IF(X21=X20,IF(X21=3,4,X21),IF(X21=5,3,IF(X21=6,4,X21))))</f>
        <v>4</v>
      </c>
      <c r="P21" s="118" t="str">
        <f>VLOOKUP(4,A$18:B$21,2,FALSE)</f>
        <v>Japán</v>
      </c>
      <c r="Q21" s="118">
        <f>SUMIF(B$4:B$60,P21,F$4:F$60)</f>
        <v>2</v>
      </c>
      <c r="R21" s="118">
        <f>SUMIF(B$4:B$60,P21,H$4:H$60)</f>
        <v>96</v>
      </c>
      <c r="S21" s="117">
        <f>SUMIF($B$4:$B$60,$P21,I$4:I$60)</f>
        <v>1</v>
      </c>
      <c r="T21" s="118">
        <f>SUMIF($B$4:$B$60,$P21,A$4:A$60)</f>
        <v>4</v>
      </c>
      <c r="U21" s="118">
        <f t="shared" si="8"/>
        <v>0</v>
      </c>
      <c r="V21" s="118">
        <f t="shared" si="8"/>
        <v>0</v>
      </c>
      <c r="W21" s="118">
        <f>SUMIF($B$4:$B$60,$P21,J$4:J$60)</f>
        <v>28</v>
      </c>
      <c r="X21" s="118">
        <f>IF(Y21=0,T21,T21+AG21+AH21+AI21)</f>
        <v>4</v>
      </c>
      <c r="Y21" s="118">
        <f>IF(AND(S20=S21,S20=S19,R20=R21,R20=R19,Q20=Q21,Q20=Q19),P21,0)</f>
        <v>0</v>
      </c>
      <c r="Z21" s="118">
        <f>SUMIF($AY$4:$AY$60,$Y21,$AX$4:$AX$60)+SUMIF($BB$4:$BB$60,$Y21,$AX$4:$AX$60)</f>
        <v>0</v>
      </c>
      <c r="AA21" s="118">
        <f>SUMIF($AZ$4:$AZ$60,$Y21,$AX$4:$AX$60)+SUMIF($BC$4:$BC$60,$Y21,$AX$4:$AX$60)</f>
        <v>0</v>
      </c>
      <c r="AB21" s="118">
        <f>SUMIF($BA$4:$BA$60,$Y21,$AX$4:$AX$60)+SUMIF($BD$4:$BD$60,$Y21,$AX$4:$AX$60)</f>
        <v>0</v>
      </c>
      <c r="AC21" s="118">
        <f>SUMIF(AY$4:AY$60,Y21,AS$4:AS$60)+SUMIF(BB$4:BB$60,Y21,AW$4:AW$60)+SUMIF(AZ$4:AZ$60,Y21,AS$4:AS$60)+SUMIF(BC$4:BC$60,Y21,AW$4:AW$60)</f>
        <v>0</v>
      </c>
      <c r="AD21" s="118">
        <f>SUMIF(BA$4:BA$60,Y21,AS$4:AS$60)+SUMIF(BD$4:BD$60,Y21,AW$4:AW$60)+SUMIF(AZ$4:AZ$60,Y21,AS$4:AS$60)+SUMIF(BC$4:BC$60,Y21,AW$4:AW$60)</f>
        <v>0</v>
      </c>
      <c r="AE21" s="118">
        <f>AC21-AD21+100</f>
        <v>100</v>
      </c>
      <c r="AF21" s="117" t="str">
        <f>IF(Y21&lt;&gt;0,Z21*3+AA21,"")</f>
        <v/>
      </c>
      <c r="AG21" s="118">
        <f>IF(Y21&lt;&gt;0,RANK(AF21,AF$18:AF$21)-1,5)</f>
        <v>5</v>
      </c>
      <c r="AH21" s="118">
        <f>IF(Y21&lt;&gt;0,SUMPRODUCT((AF$18:AF$21=AF21)*(AE$18:AE$21&gt;AE21)),5)</f>
        <v>5</v>
      </c>
      <c r="AI21" s="118">
        <f>IF(Y21&lt;&gt;0,SUMPRODUCT((AF$18:AF$21=AF21)*(AE$18:AE$21=AE21)*(AC$18:AC$21&gt;AC21)),5)</f>
        <v>5</v>
      </c>
      <c r="AJ21" s="118">
        <f>IF(Y21&lt;&gt;0,SUMPRODUCT(($AF18:$AF21=AF21)*($AE18:$AE21=AE21)*($AC18:$AC21=AC21)*($AK18:$AK21&lt;AK21)),5)</f>
        <v>5</v>
      </c>
      <c r="AK21" s="118">
        <f>IF(AL21=0,0,VLOOKUP(Y21,Tournament!AE$25:AF$28,2,FALSE))</f>
        <v>0</v>
      </c>
      <c r="AL21" s="118">
        <f>IF(Y21&lt;&gt;0,IF(SUM(AG21:AI21)=SUM(AG20:AI20),1,0),0)</f>
        <v>0</v>
      </c>
      <c r="AM21" s="118">
        <f>IF(AN21&lt;&gt;0,AM20+1,AM20)</f>
        <v>0</v>
      </c>
      <c r="AN21" s="118">
        <f>IF(AL21=1,Y21,0)</f>
        <v>0</v>
      </c>
      <c r="AO21" s="118">
        <v>18</v>
      </c>
      <c r="AP21" s="118" t="str">
        <f>IF(AND(Tournament!J31&lt;&gt;"",Tournament!L31&lt;&gt;""),IF(Tournament!J31&gt;Tournament!L31,Tournament!H31,""),"")</f>
        <v/>
      </c>
      <c r="AQ21" s="118" t="str">
        <f>IF(AND(Tournament!J31&lt;&gt;"",Tournament!L31&lt;&gt;""),IF(Tournament!J31=Tournament!L31,Tournament!H31,""),"")</f>
        <v/>
      </c>
      <c r="AR21" s="118" t="str">
        <f>IF(AND(Tournament!J31&lt;&gt;"",Tournament!L31&lt;&gt;""),IF(Tournament!J31&gt;Tournament!L31,Tournament!N31,""),"")</f>
        <v/>
      </c>
      <c r="AS21" s="118">
        <f>IF(AND(Tournament!J31&lt;&gt;"",Tournament!L31&lt;&gt;""),Tournament!J31,0)</f>
        <v>0</v>
      </c>
      <c r="AT21" s="118" t="str">
        <f>IF(AND(Tournament!J31&lt;&gt;"",Tournament!L31&lt;&gt;""),IF(Tournament!J31&lt;Tournament!L31,Tournament!N31,""),"")</f>
        <v>Horvátország</v>
      </c>
      <c r="AU21" s="118" t="str">
        <f>IF(AND(Tournament!J31&lt;&gt;"",Tournament!L31&lt;&gt;""),IF(Tournament!J31=Tournament!L31,Tournament!N31,""),"")</f>
        <v/>
      </c>
      <c r="AV21" s="118" t="str">
        <f>IF(AND(Tournament!J31&lt;&gt;"",Tournament!L31&lt;&gt;""),IF(Tournament!J31&lt;Tournament!L31,Tournament!H31,""),"")</f>
        <v>Kamerun</v>
      </c>
      <c r="AW21" s="118">
        <f>IF(AND(Tournament!J31&lt;&gt;"",Tournament!L31&lt;&gt;""),Tournament!L31,0)</f>
        <v>4</v>
      </c>
      <c r="AX21" s="118">
        <v>1</v>
      </c>
      <c r="AY21" s="118" t="str">
        <f t="shared" si="1"/>
        <v/>
      </c>
      <c r="AZ21" s="118" t="str">
        <f t="shared" si="2"/>
        <v/>
      </c>
      <c r="BA21" s="118" t="str">
        <f t="shared" si="3"/>
        <v/>
      </c>
      <c r="BB21" s="118" t="str">
        <f t="shared" si="4"/>
        <v/>
      </c>
      <c r="BC21" s="118" t="str">
        <f t="shared" si="5"/>
        <v/>
      </c>
      <c r="BD21" s="118" t="str">
        <f t="shared" si="6"/>
        <v/>
      </c>
      <c r="BE21" s="118">
        <v>19</v>
      </c>
      <c r="BF21" s="118" t="str">
        <f>Tournament!H32</f>
        <v>Spanyolország</v>
      </c>
      <c r="BG21" s="118">
        <f>IF(AND(Tournament!J32&lt;&gt;"",Tournament!L32&lt;&gt;""),Tournament!J32,"")</f>
        <v>0</v>
      </c>
      <c r="BH21" s="118">
        <f>IF(AND(Tournament!L32&lt;&gt;"",Tournament!J32&lt;&gt;""),Tournament!L32,"")</f>
        <v>2</v>
      </c>
      <c r="BI21" s="118" t="str">
        <f>Tournament!N32</f>
        <v>Chile</v>
      </c>
    </row>
    <row r="22" spans="1:61">
      <c r="I22" s="117"/>
      <c r="S22" s="117"/>
      <c r="AF22" s="117"/>
      <c r="AO22" s="118">
        <v>19</v>
      </c>
      <c r="AP22" s="118" t="str">
        <f>IF(AND(Tournament!J32&lt;&gt;"",Tournament!L32&lt;&gt;""),IF(Tournament!J32&gt;Tournament!L32,Tournament!H32,""),"")</f>
        <v/>
      </c>
      <c r="AQ22" s="118" t="str">
        <f>IF(AND(Tournament!J32&lt;&gt;"",Tournament!L32&lt;&gt;""),IF(Tournament!J32=Tournament!L32,Tournament!H32,""),"")</f>
        <v/>
      </c>
      <c r="AR22" s="118" t="str">
        <f>IF(AND(Tournament!J32&lt;&gt;"",Tournament!L32&lt;&gt;""),IF(Tournament!J32&gt;Tournament!L32,Tournament!N32,""),"")</f>
        <v/>
      </c>
      <c r="AS22" s="118">
        <f>IF(AND(Tournament!J32&lt;&gt;"",Tournament!L32&lt;&gt;""),Tournament!J32,0)</f>
        <v>0</v>
      </c>
      <c r="AT22" s="118" t="str">
        <f>IF(AND(Tournament!J32&lt;&gt;"",Tournament!L32&lt;&gt;""),IF(Tournament!J32&lt;Tournament!L32,Tournament!N32,""),"")</f>
        <v>Chile</v>
      </c>
      <c r="AU22" s="118" t="str">
        <f>IF(AND(Tournament!J32&lt;&gt;"",Tournament!L32&lt;&gt;""),IF(Tournament!J32=Tournament!L32,Tournament!N32,""),"")</f>
        <v/>
      </c>
      <c r="AV22" s="118" t="str">
        <f>IF(AND(Tournament!J32&lt;&gt;"",Tournament!L32&lt;&gt;""),IF(Tournament!J32&lt;Tournament!L32,Tournament!H32,""),"")</f>
        <v>Spanyolország</v>
      </c>
      <c r="AW22" s="118">
        <f>IF(AND(Tournament!J32&lt;&gt;"",Tournament!L32&lt;&gt;""),Tournament!L32,0)</f>
        <v>2</v>
      </c>
      <c r="AX22" s="118">
        <v>1</v>
      </c>
      <c r="AY22" s="118" t="str">
        <f t="shared" si="1"/>
        <v/>
      </c>
      <c r="AZ22" s="118" t="str">
        <f t="shared" si="2"/>
        <v/>
      </c>
      <c r="BA22" s="118" t="str">
        <f t="shared" si="3"/>
        <v/>
      </c>
      <c r="BB22" s="118" t="str">
        <f t="shared" si="4"/>
        <v/>
      </c>
      <c r="BC22" s="118" t="str">
        <f t="shared" si="5"/>
        <v/>
      </c>
      <c r="BD22" s="118" t="str">
        <f t="shared" si="6"/>
        <v/>
      </c>
      <c r="BE22" s="118">
        <v>20</v>
      </c>
      <c r="BF22" s="118" t="str">
        <f>Tournament!H33</f>
        <v>Ausztrália</v>
      </c>
      <c r="BG22" s="118">
        <f>IF(AND(Tournament!J33&lt;&gt;"",Tournament!L33&lt;&gt;""),Tournament!J33,"")</f>
        <v>2</v>
      </c>
      <c r="BH22" s="118">
        <f>IF(AND(Tournament!L33&lt;&gt;"",Tournament!J33&lt;&gt;""),Tournament!L33,"")</f>
        <v>3</v>
      </c>
      <c r="BI22" s="118" t="str">
        <f>Tournament!N33</f>
        <v>Hollandia</v>
      </c>
    </row>
    <row r="23" spans="1:61">
      <c r="I23" s="117"/>
      <c r="S23" s="117"/>
      <c r="AF23" s="117"/>
      <c r="AO23" s="118">
        <v>20</v>
      </c>
      <c r="AP23" s="118" t="str">
        <f>IF(AND(Tournament!J33&lt;&gt;"",Tournament!L33&lt;&gt;""),IF(Tournament!J33&gt;Tournament!L33,Tournament!H33,""),"")</f>
        <v/>
      </c>
      <c r="AQ23" s="118" t="str">
        <f>IF(AND(Tournament!J33&lt;&gt;"",Tournament!L33&lt;&gt;""),IF(Tournament!J33=Tournament!L33,Tournament!H33,""),"")</f>
        <v/>
      </c>
      <c r="AR23" s="118" t="str">
        <f>IF(AND(Tournament!J33&lt;&gt;"",Tournament!L33&lt;&gt;""),IF(Tournament!J33&gt;Tournament!L33,Tournament!N33,""),"")</f>
        <v/>
      </c>
      <c r="AS23" s="118">
        <f>IF(AND(Tournament!J33&lt;&gt;"",Tournament!L33&lt;&gt;""),Tournament!J33,0)</f>
        <v>2</v>
      </c>
      <c r="AT23" s="118" t="str">
        <f>IF(AND(Tournament!J33&lt;&gt;"",Tournament!L33&lt;&gt;""),IF(Tournament!J33&lt;Tournament!L33,Tournament!N33,""),"")</f>
        <v>Hollandia</v>
      </c>
      <c r="AU23" s="118" t="str">
        <f>IF(AND(Tournament!J33&lt;&gt;"",Tournament!L33&lt;&gt;""),IF(Tournament!J33=Tournament!L33,Tournament!N33,""),"")</f>
        <v/>
      </c>
      <c r="AV23" s="118" t="str">
        <f>IF(AND(Tournament!J33&lt;&gt;"",Tournament!L33&lt;&gt;""),IF(Tournament!J33&lt;Tournament!L33,Tournament!H33,""),"")</f>
        <v>Ausztrália</v>
      </c>
      <c r="AW23" s="118">
        <f>IF(AND(Tournament!J33&lt;&gt;"",Tournament!L33&lt;&gt;""),Tournament!L33,0)</f>
        <v>3</v>
      </c>
      <c r="AX23" s="118">
        <v>1</v>
      </c>
      <c r="AY23" s="118" t="str">
        <f t="shared" si="1"/>
        <v/>
      </c>
      <c r="AZ23" s="118" t="str">
        <f t="shared" si="2"/>
        <v/>
      </c>
      <c r="BA23" s="118" t="str">
        <f t="shared" si="3"/>
        <v/>
      </c>
      <c r="BB23" s="118" t="str">
        <f t="shared" si="4"/>
        <v/>
      </c>
      <c r="BC23" s="118" t="str">
        <f t="shared" si="5"/>
        <v/>
      </c>
      <c r="BD23" s="118" t="str">
        <f t="shared" si="6"/>
        <v/>
      </c>
      <c r="BE23" s="118">
        <v>21</v>
      </c>
      <c r="BF23" s="118" t="str">
        <f>Tournament!H34</f>
        <v>Colombia</v>
      </c>
      <c r="BG23" s="118">
        <f>IF(AND(Tournament!J34&lt;&gt;"",Tournament!L34&lt;&gt;""),Tournament!J34,"")</f>
        <v>2</v>
      </c>
      <c r="BH23" s="118">
        <f>IF(AND(Tournament!L34&lt;&gt;"",Tournament!J34&lt;&gt;""),Tournament!L34,"")</f>
        <v>1</v>
      </c>
      <c r="BI23" s="118" t="str">
        <f>Tournament!N34</f>
        <v>Elefántcsontpart</v>
      </c>
    </row>
    <row r="24" spans="1:61">
      <c r="I24" s="117"/>
      <c r="S24" s="117"/>
      <c r="AF24" s="117"/>
      <c r="AO24" s="118">
        <v>21</v>
      </c>
      <c r="AP24" s="118" t="str">
        <f>IF(AND(Tournament!J34&lt;&gt;"",Tournament!L34&lt;&gt;""),IF(Tournament!J34&gt;Tournament!L34,Tournament!H34,""),"")</f>
        <v>Colombia</v>
      </c>
      <c r="AQ24" s="118" t="str">
        <f>IF(AND(Tournament!J34&lt;&gt;"",Tournament!L34&lt;&gt;""),IF(Tournament!J34=Tournament!L34,Tournament!H34,""),"")</f>
        <v/>
      </c>
      <c r="AR24" s="118" t="str">
        <f>IF(AND(Tournament!J34&lt;&gt;"",Tournament!L34&lt;&gt;""),IF(Tournament!J34&gt;Tournament!L34,Tournament!N34,""),"")</f>
        <v>Elefántcsontpart</v>
      </c>
      <c r="AS24" s="118">
        <f>IF(AND(Tournament!J34&lt;&gt;"",Tournament!L34&lt;&gt;""),Tournament!J34,0)</f>
        <v>2</v>
      </c>
      <c r="AT24" s="118" t="str">
        <f>IF(AND(Tournament!J34&lt;&gt;"",Tournament!L34&lt;&gt;""),IF(Tournament!J34&lt;Tournament!L34,Tournament!N34,""),"")</f>
        <v/>
      </c>
      <c r="AU24" s="118" t="str">
        <f>IF(AND(Tournament!J34&lt;&gt;"",Tournament!L34&lt;&gt;""),IF(Tournament!J34=Tournament!L34,Tournament!N34,""),"")</f>
        <v/>
      </c>
      <c r="AV24" s="118" t="str">
        <f>IF(AND(Tournament!J34&lt;&gt;"",Tournament!L34&lt;&gt;""),IF(Tournament!J34&lt;Tournament!L34,Tournament!H34,""),"")</f>
        <v/>
      </c>
      <c r="AW24" s="118">
        <f>IF(AND(Tournament!J34&lt;&gt;"",Tournament!L34&lt;&gt;""),Tournament!L34,0)</f>
        <v>1</v>
      </c>
      <c r="AX24" s="118">
        <v>1</v>
      </c>
      <c r="AY24" s="118" t="str">
        <f t="shared" si="1"/>
        <v/>
      </c>
      <c r="AZ24" s="118" t="str">
        <f t="shared" si="2"/>
        <v/>
      </c>
      <c r="BA24" s="118" t="str">
        <f t="shared" si="3"/>
        <v/>
      </c>
      <c r="BB24" s="118" t="str">
        <f t="shared" si="4"/>
        <v/>
      </c>
      <c r="BC24" s="118" t="str">
        <f t="shared" si="5"/>
        <v/>
      </c>
      <c r="BD24" s="118" t="str">
        <f t="shared" si="6"/>
        <v/>
      </c>
      <c r="BE24" s="118">
        <v>22</v>
      </c>
      <c r="BF24" s="118" t="str">
        <f>Tournament!H35</f>
        <v>Japán</v>
      </c>
      <c r="BG24" s="118">
        <f>IF(AND(Tournament!J35&lt;&gt;"",Tournament!L35&lt;&gt;""),Tournament!J35,"")</f>
        <v>0</v>
      </c>
      <c r="BH24" s="118">
        <f>IF(AND(Tournament!L35&lt;&gt;"",Tournament!J35&lt;&gt;""),Tournament!L35,"")</f>
        <v>0</v>
      </c>
      <c r="BI24" s="118" t="str">
        <f>Tournament!N35</f>
        <v>Görögország</v>
      </c>
    </row>
    <row r="25" spans="1:61">
      <c r="A25" s="118">
        <f>K25+L25+M25+N25</f>
        <v>2</v>
      </c>
      <c r="B25" s="118" t="str">
        <f>Tournament!H20</f>
        <v>Uruguaj</v>
      </c>
      <c r="C25" s="118">
        <f>SUMIF(AP$4:AP$60,B25,AX$4:AX$60)+SUMIF(AT$4:AT$60,B25,AX$4:AX$60)</f>
        <v>2</v>
      </c>
      <c r="D25" s="118">
        <f>SUMIF(AQ$4:AQ$60,B25,AX$4:AX$60)+SUMIF(AU$4:AU$60,B25,AX$4:AX$60)</f>
        <v>0</v>
      </c>
      <c r="E25" s="118">
        <f>SUMIF(AR$4:AR$60,B25,AX$4:AX$60)+SUMIF(AV$4:AV$60,B25,AX$4:AX$60)</f>
        <v>1</v>
      </c>
      <c r="F25" s="118">
        <f>SUMIF($BF$3:$BF$60,B25,$BG$3:$BG$60)+SUMIF($BI$3:$BI$60,B25,$BH$3:$BH$60)</f>
        <v>4</v>
      </c>
      <c r="G25" s="118">
        <f>SUMIF($BI$3:$BI$60,B25,$BG$3:$BG$60)+SUMIF($BF$3:$BF$60,B25,$BH$3:$BH$60)</f>
        <v>4</v>
      </c>
      <c r="H25" s="118">
        <f>F25-G25+100</f>
        <v>100</v>
      </c>
      <c r="I25" s="117">
        <f>C25*3+D25</f>
        <v>6</v>
      </c>
      <c r="J25" s="118">
        <v>6</v>
      </c>
      <c r="K25" s="118">
        <f>RANK(I25,I$25:I$28)</f>
        <v>2</v>
      </c>
      <c r="L25" s="118">
        <f>SUMPRODUCT((I$25:I$28=I25)*(H$25:H$28&gt;H25))</f>
        <v>0</v>
      </c>
      <c r="M25" s="118">
        <f>SUMPRODUCT((I$25:I$28=I25)*(H$25:H$28=H25)*(F$25:F$28&gt;F25))</f>
        <v>0</v>
      </c>
      <c r="N25" s="118">
        <f>SUMPRODUCT((I$25:I$28=I25)*(H$25:H$28=H25)*(F$25:F$28=F25)*(J$25:J$28&lt;J25))</f>
        <v>0</v>
      </c>
      <c r="O25" s="118">
        <f>IF(SUM(AG25:AI28)=0,IF(COUNTIF(AJ25:AJ28,0)&gt;1,1,AJ25+1),X25)</f>
        <v>1</v>
      </c>
      <c r="P25" s="118" t="str">
        <f>VLOOKUP(1,A$25:B$28,2,FALSE)</f>
        <v>Costa Rica</v>
      </c>
      <c r="Q25" s="118">
        <f>SUMIF(B$4:B$60,P25,F$4:F$60)</f>
        <v>4</v>
      </c>
      <c r="R25" s="118">
        <f>SUMIF(B$4:B$60,P25,H$4:H$60)</f>
        <v>103</v>
      </c>
      <c r="S25" s="117">
        <f>SUMIF($B$4:$B$60,$P25,I$4:I$60)</f>
        <v>7</v>
      </c>
      <c r="T25" s="118">
        <f>SUMIF($B$4:$B$60,$P25,A$4:A$60)</f>
        <v>1</v>
      </c>
      <c r="U25" s="118">
        <f t="shared" ref="U25:V28" si="9">SUMIF($B$4:$B$60,$P25,L$4:L$60)</f>
        <v>0</v>
      </c>
      <c r="V25" s="118">
        <f t="shared" si="9"/>
        <v>0</v>
      </c>
      <c r="W25" s="118">
        <f>SUMIF($B$4:$B$60,$P25,J$4:J$60)</f>
        <v>24</v>
      </c>
      <c r="X25" s="118">
        <f>IF(Y25=0,T25,T25+AG25+AH25+AI25)</f>
        <v>1</v>
      </c>
      <c r="Y25" s="118">
        <f>IF(AND(S25=S26,R25=R26,Q25=Q26),P25,0)</f>
        <v>0</v>
      </c>
      <c r="Z25" s="118">
        <f>SUMIF($AY$4:$AY$60,$Y25,$AX$4:$AX$60)+SUMIF($BB$4:$BB$60,$Y25,$AX$4:$AX$60)</f>
        <v>0</v>
      </c>
      <c r="AA25" s="118">
        <f>SUMIF($AZ$4:$AZ$60,$Y25,$AX$4:$AX$60)+SUMIF($BC$4:$BC$60,$Y25,$AX$4:$AX$60)</f>
        <v>0</v>
      </c>
      <c r="AB25" s="118">
        <f>SUMIF($BA$4:$BA$60,$Y25,$AX$4:$AX$60)+SUMIF($BD$4:$BD$60,$Y25,$AX$4:$AX$60)</f>
        <v>0</v>
      </c>
      <c r="AC25" s="118">
        <f>SUMIF(AY$4:AY$60,Y25,AS$4:AS$60)+SUMIF(BB$4:BB$60,Y25,AW$4:AW$60)+SUMIF(AZ$4:AZ$60,Y25,AS$4:AS$60)+SUMIF(BC$4:BC$60,Y25,AW$4:AW$60)</f>
        <v>0</v>
      </c>
      <c r="AD25" s="118">
        <f>SUMIF(BA$4:BA$60,Y25,AS$4:AS$60)+SUMIF(BD$4:BD$60,Y25,AW$4:AW$60)+SUMIF(AZ$4:AZ$60,Y25,AS$4:AS$60)+SUMIF(BC$4:BC$60,Y25,AW$4:AW$60)</f>
        <v>0</v>
      </c>
      <c r="AE25" s="118">
        <f>AC25-AD25+100</f>
        <v>100</v>
      </c>
      <c r="AF25" s="117" t="str">
        <f>IF(Y25&lt;&gt;0,Z25*3+AA25,"")</f>
        <v/>
      </c>
      <c r="AG25" s="118">
        <f>IF(Y25&lt;&gt;0,RANK(AF25,AF$25:AF$28)-1,5)</f>
        <v>5</v>
      </c>
      <c r="AH25" s="118">
        <f>IF(Y25&lt;&gt;0,SUMPRODUCT((AF$25:AF$28=AF25)*(AE$25:AE$28&gt;AE25)),5)</f>
        <v>5</v>
      </c>
      <c r="AI25" s="118">
        <f>IF(Y25&lt;&gt;0,SUMPRODUCT((AF$25:AF$28=AF25)*(AE$25:AE$28=AE25)*(AC$25:AC$28&gt;AC25)),5)</f>
        <v>5</v>
      </c>
      <c r="AJ25" s="118">
        <f>IF(Y25&lt;&gt;0,SUMPRODUCT(($AF25:$AF28=AF25)*($AE25:$AE28=AE25)*($AC25:$AC28=AC25)*($AK25:$AK28&lt;AK25)),5)</f>
        <v>5</v>
      </c>
      <c r="AK25" s="118">
        <f>IF(AL25=0,0,VLOOKUP(Y25,Tournament!AE$31:AF$34,2,FALSE))</f>
        <v>0</v>
      </c>
      <c r="AL25" s="118">
        <f>IF(Y25&lt;&gt;0,IF(SUM(AG25:AI25)=SUM(AG26:AI26),1,0),0)</f>
        <v>0</v>
      </c>
      <c r="AM25" s="118">
        <f>IF(AN25&lt;&gt;0,1,0)</f>
        <v>0</v>
      </c>
      <c r="AN25" s="118">
        <f>IF(AL25=1,Y25,0)</f>
        <v>0</v>
      </c>
      <c r="AO25" s="118">
        <v>22</v>
      </c>
      <c r="AP25" s="118" t="str">
        <f>IF(AND(Tournament!J35&lt;&gt;"",Tournament!L35&lt;&gt;""),IF(Tournament!J35&gt;Tournament!L35,Tournament!H35,""),"")</f>
        <v/>
      </c>
      <c r="AQ25" s="118" t="str">
        <f>IF(AND(Tournament!J35&lt;&gt;"",Tournament!L35&lt;&gt;""),IF(Tournament!J35=Tournament!L35,Tournament!H35,""),"")</f>
        <v>Japán</v>
      </c>
      <c r="AR25" s="118" t="str">
        <f>IF(AND(Tournament!J35&lt;&gt;"",Tournament!L35&lt;&gt;""),IF(Tournament!J35&gt;Tournament!L35,Tournament!N35,""),"")</f>
        <v/>
      </c>
      <c r="AS25" s="118">
        <f>IF(AND(Tournament!J35&lt;&gt;"",Tournament!L35&lt;&gt;""),Tournament!J35,0)</f>
        <v>0</v>
      </c>
      <c r="AT25" s="118" t="str">
        <f>IF(AND(Tournament!J35&lt;&gt;"",Tournament!L35&lt;&gt;""),IF(Tournament!J35&lt;Tournament!L35,Tournament!N35,""),"")</f>
        <v/>
      </c>
      <c r="AU25" s="118" t="str">
        <f>IF(AND(Tournament!J35&lt;&gt;"",Tournament!L35&lt;&gt;""),IF(Tournament!J35=Tournament!L35,Tournament!N35,""),"")</f>
        <v>Görögország</v>
      </c>
      <c r="AV25" s="118" t="str">
        <f>IF(AND(Tournament!J35&lt;&gt;"",Tournament!L35&lt;&gt;""),IF(Tournament!J35&lt;Tournament!L35,Tournament!H35,""),"")</f>
        <v/>
      </c>
      <c r="AW25" s="118">
        <f>IF(AND(Tournament!J35&lt;&gt;"",Tournament!L35&lt;&gt;""),Tournament!L35,0)</f>
        <v>0</v>
      </c>
      <c r="AX25" s="118">
        <v>1</v>
      </c>
      <c r="AY25" s="118" t="str">
        <f t="shared" si="1"/>
        <v/>
      </c>
      <c r="AZ25" s="118" t="str">
        <f t="shared" si="2"/>
        <v/>
      </c>
      <c r="BA25" s="118" t="str">
        <f t="shared" si="3"/>
        <v/>
      </c>
      <c r="BB25" s="118" t="str">
        <f t="shared" si="4"/>
        <v/>
      </c>
      <c r="BC25" s="118" t="str">
        <f t="shared" si="5"/>
        <v/>
      </c>
      <c r="BD25" s="118" t="str">
        <f t="shared" si="6"/>
        <v/>
      </c>
      <c r="BE25" s="118">
        <v>23</v>
      </c>
      <c r="BF25" s="118" t="str">
        <f>Tournament!H36</f>
        <v>Uruguaj</v>
      </c>
      <c r="BG25" s="118">
        <f>IF(AND(Tournament!J36&lt;&gt;"",Tournament!L36&lt;&gt;""),Tournament!J36,"")</f>
        <v>2</v>
      </c>
      <c r="BH25" s="118">
        <f>IF(AND(Tournament!L36&lt;&gt;"",Tournament!J36&lt;&gt;""),Tournament!L36,"")</f>
        <v>1</v>
      </c>
      <c r="BI25" s="118" t="str">
        <f>Tournament!N36</f>
        <v>Anglia</v>
      </c>
    </row>
    <row r="26" spans="1:61">
      <c r="A26" s="118">
        <f>K26+L26+M26+N26</f>
        <v>1</v>
      </c>
      <c r="B26" s="118" t="str">
        <f>Tournament!N20</f>
        <v>Costa Rica</v>
      </c>
      <c r="C26" s="118">
        <f>SUMIF(AP$4:AP$60,B26,AX$4:AX$60)+SUMIF(AT$4:AT$60,B26,AX$4:AX$60)</f>
        <v>2</v>
      </c>
      <c r="D26" s="118">
        <f>SUMIF(AQ$4:AQ$60,B26,AX$4:AX$60)+SUMIF(AU$4:AU$60,B26,AX$4:AX$60)</f>
        <v>1</v>
      </c>
      <c r="E26" s="118">
        <f>SUMIF(AR$4:AR$60,B26,AX$4:AX$60)+SUMIF(AV$4:AV$60,B26,AX$4:AX$60)</f>
        <v>0</v>
      </c>
      <c r="F26" s="118">
        <f>SUMIF($BF$3:$BF$60,B26,$BG$3:$BG$60)+SUMIF($BI$3:$BI$60,B26,$BH$3:$BH$60)</f>
        <v>4</v>
      </c>
      <c r="G26" s="118">
        <f>SUMIF($BI$3:$BI$60,B26,$BG$3:$BG$60)+SUMIF($BF$3:$BF$60,B26,$BH$3:$BH$60)</f>
        <v>1</v>
      </c>
      <c r="H26" s="118">
        <f>F26-G26+100</f>
        <v>103</v>
      </c>
      <c r="I26" s="117">
        <f>C26*3+D26</f>
        <v>7</v>
      </c>
      <c r="J26" s="118">
        <v>24</v>
      </c>
      <c r="K26" s="118">
        <f>RANK(I26,I$25:I$28)</f>
        <v>1</v>
      </c>
      <c r="L26" s="118">
        <f>SUMPRODUCT((I$25:I$28=I26)*(H$25:H$28&gt;H26))</f>
        <v>0</v>
      </c>
      <c r="M26" s="118">
        <f>SUMPRODUCT((I$25:I$28=I26)*(H$25:H$28=H26)*(F$25:F$28&gt;F26))</f>
        <v>0</v>
      </c>
      <c r="N26" s="118">
        <f>SUMPRODUCT((I$25:I$28=I26)*(H$25:H$28=H26)*(F$25:F$28=F26)*(J$25:J$28&lt;J26))</f>
        <v>0</v>
      </c>
      <c r="O26" s="118">
        <f>IF(SUM(AG25:AI28)=0,IF(COUNTIF(AJ25:AJ28,0)&gt;1,2,AJ26+1),IF(AND(X25=1,X26=3,Y25&lt;&gt;0,Y26&lt;&gt;0,Y27=0,Y28=0),2,IF(AND(X25=2,X26=2,Y25&lt;&gt;0,Y26&lt;&gt;0,Y27=0,Y28=0),1,X26)))</f>
        <v>2</v>
      </c>
      <c r="P26" s="118" t="str">
        <f>VLOOKUP(2,A$25:B$28,2,FALSE)</f>
        <v>Uruguaj</v>
      </c>
      <c r="Q26" s="118">
        <f>SUMIF(B$4:B$60,P26,F$4:F$60)</f>
        <v>4</v>
      </c>
      <c r="R26" s="118">
        <f>SUMIF(B$4:B$60,P26,H$4:H$60)</f>
        <v>100</v>
      </c>
      <c r="S26" s="117">
        <f>SUMIF($B$4:$B$60,$P26,I$4:I$60)</f>
        <v>6</v>
      </c>
      <c r="T26" s="118">
        <f>SUMIF($B$4:$B$60,$P26,A$4:A$60)</f>
        <v>2</v>
      </c>
      <c r="U26" s="118">
        <f t="shared" si="9"/>
        <v>0</v>
      </c>
      <c r="V26" s="118">
        <f t="shared" si="9"/>
        <v>0</v>
      </c>
      <c r="W26" s="118">
        <f>SUMIF($B$4:$B$60,$P26,J$4:J$60)</f>
        <v>6</v>
      </c>
      <c r="X26" s="118">
        <f>IF(Y26=0,T26,T26+AG26+AH26+AI26)</f>
        <v>2</v>
      </c>
      <c r="Y26" s="118">
        <f>IF(OR(AND(S25=S26,R25=R26,Q25=Q26),AND(S27=S26,R27=R26,Q27=Q26)),P26,0)</f>
        <v>0</v>
      </c>
      <c r="Z26" s="118">
        <f>SUMIF($AY$4:$AY$60,$Y26,$AX$4:$AX$60)+SUMIF($BB$4:$BB$60,$Y26,$AX$4:$AX$60)</f>
        <v>0</v>
      </c>
      <c r="AA26" s="118">
        <f>SUMIF($AZ$4:$AZ$60,$Y26,$AX$4:$AX$60)+SUMIF($BC$4:$BC$60,$Y26,$AX$4:$AX$60)</f>
        <v>0</v>
      </c>
      <c r="AB26" s="118">
        <f>SUMIF($BA$4:$BA$60,$Y26,$AX$4:$AX$60)+SUMIF($BD$4:$BD$60,$Y26,$AX$4:$AX$60)</f>
        <v>0</v>
      </c>
      <c r="AC26" s="118">
        <f>SUMIF(AY$4:AY$60,Y26,AS$4:AS$60)+SUMIF(BB$4:BB$60,Y26,AW$4:AW$60)+SUMIF(AZ$4:AZ$60,Y26,AS$4:AS$60)+SUMIF(BC$4:BC$60,Y26,AW$4:AW$60)</f>
        <v>0</v>
      </c>
      <c r="AD26" s="118">
        <f>SUMIF(BA$4:BA$60,Y26,AS$4:AS$60)+SUMIF(BD$4:BD$60,Y26,AW$4:AW$60)+SUMIF(AZ$4:AZ$60,Y26,AS$4:AS$60)+SUMIF(BC$4:BC$60,Y26,AW$4:AW$60)</f>
        <v>0</v>
      </c>
      <c r="AE26" s="118">
        <f>AC26-AD26+100</f>
        <v>100</v>
      </c>
      <c r="AF26" s="117" t="str">
        <f>IF(Y26&lt;&gt;0,Z26*3+AA26,"")</f>
        <v/>
      </c>
      <c r="AG26" s="118">
        <f>IF(Y26&lt;&gt;0,RANK(AF26,AF$25:AF$28)-1,5)</f>
        <v>5</v>
      </c>
      <c r="AH26" s="118">
        <f>IF(Y26&lt;&gt;0,SUMPRODUCT((AF$25:AF$28=AF26)*(AE$25:AE$28&gt;AE26)),5)</f>
        <v>5</v>
      </c>
      <c r="AI26" s="118">
        <f>IF(Y26&lt;&gt;0,SUMPRODUCT((AF$25:AF$28=AF26)*(AE$25:AE$28=AE26)*(AC$25:AC$28&gt;AC26)),5)</f>
        <v>5</v>
      </c>
      <c r="AJ26" s="118">
        <f>IF(Y26&lt;&gt;0,SUMPRODUCT(($AF25:$AF28=AF26)*($AE25:$AE28=AE26)*($AC25:$AC28=AC26)*($AK25:$AK28&lt;AK26)),5)</f>
        <v>5</v>
      </c>
      <c r="AK26" s="118">
        <f>IF(AL26=0,0,VLOOKUP(Y26,Tournament!AE$31:AF$34,2,FALSE))</f>
        <v>0</v>
      </c>
      <c r="AL26" s="118">
        <f>IF(Y26&lt;&gt;0,IF(OR(SUM(AG26:AI26)=SUM(AG25:AI25),SUM(AG26:AI26)=SUM(AG27:AI27)),1,0),0)</f>
        <v>0</v>
      </c>
      <c r="AM26" s="118">
        <f>IF(AN26&lt;&gt;0,AM25+1,AM25)</f>
        <v>0</v>
      </c>
      <c r="AN26" s="118">
        <f>IF(AL26=1,Y26,0)</f>
        <v>0</v>
      </c>
      <c r="AO26" s="118">
        <v>23</v>
      </c>
      <c r="AP26" s="118" t="str">
        <f>IF(AND(Tournament!J36&lt;&gt;"",Tournament!L36&lt;&gt;""),IF(Tournament!J36&gt;Tournament!L36,Tournament!H36,""),"")</f>
        <v>Uruguaj</v>
      </c>
      <c r="AQ26" s="118" t="str">
        <f>IF(AND(Tournament!J36&lt;&gt;"",Tournament!L36&lt;&gt;""),IF(Tournament!J36=Tournament!L36,Tournament!H36,""),"")</f>
        <v/>
      </c>
      <c r="AR26" s="118" t="str">
        <f>IF(AND(Tournament!J36&lt;&gt;"",Tournament!L36&lt;&gt;""),IF(Tournament!J36&gt;Tournament!L36,Tournament!N36,""),"")</f>
        <v>Anglia</v>
      </c>
      <c r="AS26" s="118">
        <f>IF(AND(Tournament!J36&lt;&gt;"",Tournament!L36&lt;&gt;""),Tournament!J36,0)</f>
        <v>2</v>
      </c>
      <c r="AT26" s="118" t="str">
        <f>IF(AND(Tournament!J36&lt;&gt;"",Tournament!L36&lt;&gt;""),IF(Tournament!J36&lt;Tournament!L36,Tournament!N36,""),"")</f>
        <v/>
      </c>
      <c r="AU26" s="118" t="str">
        <f>IF(AND(Tournament!J36&lt;&gt;"",Tournament!L36&lt;&gt;""),IF(Tournament!J36=Tournament!L36,Tournament!N36,""),"")</f>
        <v/>
      </c>
      <c r="AV26" s="118" t="str">
        <f>IF(AND(Tournament!J36&lt;&gt;"",Tournament!L36&lt;&gt;""),IF(Tournament!J36&lt;Tournament!L36,Tournament!H36,""),"")</f>
        <v/>
      </c>
      <c r="AW26" s="118">
        <f>IF(AND(Tournament!J36&lt;&gt;"",Tournament!L36&lt;&gt;""),Tournament!L36,0)</f>
        <v>1</v>
      </c>
      <c r="AX26" s="118">
        <v>1</v>
      </c>
      <c r="AY26" s="118" t="str">
        <f t="shared" si="1"/>
        <v/>
      </c>
      <c r="AZ26" s="118" t="str">
        <f t="shared" si="2"/>
        <v/>
      </c>
      <c r="BA26" s="118" t="str">
        <f t="shared" si="3"/>
        <v/>
      </c>
      <c r="BB26" s="118" t="str">
        <f t="shared" si="4"/>
        <v/>
      </c>
      <c r="BC26" s="118" t="str">
        <f t="shared" si="5"/>
        <v/>
      </c>
      <c r="BD26" s="118" t="str">
        <f t="shared" si="6"/>
        <v/>
      </c>
      <c r="BE26" s="118">
        <v>24</v>
      </c>
      <c r="BF26" s="118" t="str">
        <f>Tournament!H37</f>
        <v>Olaszország</v>
      </c>
      <c r="BG26" s="118">
        <f>IF(AND(Tournament!J37&lt;&gt;"",Tournament!L37&lt;&gt;""),Tournament!J37,"")</f>
        <v>0</v>
      </c>
      <c r="BH26" s="118">
        <f>IF(AND(Tournament!L37&lt;&gt;"",Tournament!J37&lt;&gt;""),Tournament!L37,"")</f>
        <v>1</v>
      </c>
      <c r="BI26" s="118" t="str">
        <f>Tournament!N37</f>
        <v>Costa Rica</v>
      </c>
    </row>
    <row r="27" spans="1:61">
      <c r="A27" s="118">
        <f>K27+L27+M27+N27</f>
        <v>4</v>
      </c>
      <c r="B27" s="118" t="str">
        <f>Tournament!H21</f>
        <v>Anglia</v>
      </c>
      <c r="C27" s="118">
        <f>SUMIF(AP$4:AP$60,B27,AX$4:AX$60)+SUMIF(AT$4:AT$60,B27,AX$4:AX$60)</f>
        <v>0</v>
      </c>
      <c r="D27" s="118">
        <f>SUMIF(AQ$4:AQ$60,B27,AX$4:AX$60)+SUMIF(AU$4:AU$60,B27,AX$4:AX$60)</f>
        <v>1</v>
      </c>
      <c r="E27" s="118">
        <f>SUMIF(AR$4:AR$60,B27,AX$4:AX$60)+SUMIF(AV$4:AV$60,B27,AX$4:AX$60)</f>
        <v>2</v>
      </c>
      <c r="F27" s="118">
        <f>SUMIF($BF$3:$BF$60,B27,$BG$3:$BG$60)+SUMIF($BI$3:$BI$60,B27,$BH$3:$BH$60)</f>
        <v>2</v>
      </c>
      <c r="G27" s="118">
        <f>SUMIF($BI$3:$BI$60,B27,$BG$3:$BG$60)+SUMIF($BF$3:$BF$60,B27,$BH$3:$BH$60)</f>
        <v>4</v>
      </c>
      <c r="H27" s="118">
        <f>F27-G27+100</f>
        <v>98</v>
      </c>
      <c r="I27" s="117">
        <f>C27*3+D27</f>
        <v>1</v>
      </c>
      <c r="J27" s="118">
        <v>10</v>
      </c>
      <c r="K27" s="118">
        <f>RANK(I27,I$25:I$28)</f>
        <v>4</v>
      </c>
      <c r="L27" s="118">
        <f>SUMPRODUCT((I$25:I$28=I27)*(H$25:H$28&gt;H27))</f>
        <v>0</v>
      </c>
      <c r="M27" s="118">
        <f>SUMPRODUCT((I$25:I$28=I27)*(H$25:H$28=H27)*(F$25:F$28&gt;F27))</f>
        <v>0</v>
      </c>
      <c r="N27" s="118">
        <f>SUMPRODUCT((I$25:I$28=I27)*(H$25:H$28=H27)*(F$25:F$28=F27)*(J$25:J$28&lt;J27))</f>
        <v>0</v>
      </c>
      <c r="O27" s="118">
        <f>IF(SUM(AG25:AI28)=0,IF(COUNTIF(AJ25:AJ28,0)&gt;1,3,AJ27+1),IF(AND(X26=3,X27=3,Y26&lt;&gt;0,Y27&lt;&gt;0),2,IF(OR(X27=5,X27=4),3,IF(X27=6,4,X27))))</f>
        <v>3</v>
      </c>
      <c r="P27" s="118" t="str">
        <f>VLOOKUP(3,A$25:B$28,2,FALSE)</f>
        <v>Olaszország</v>
      </c>
      <c r="Q27" s="118">
        <f>SUMIF(B$4:B$60,P27,F$4:F$60)</f>
        <v>2</v>
      </c>
      <c r="R27" s="118">
        <f>SUMIF(B$4:B$60,P27,H$4:H$60)</f>
        <v>99</v>
      </c>
      <c r="S27" s="117">
        <f>SUMIF($B$4:$B$60,$P27,I$4:I$60)</f>
        <v>3</v>
      </c>
      <c r="T27" s="118">
        <f>SUMIF($B$4:$B$60,$P27,A$4:A$60)</f>
        <v>3</v>
      </c>
      <c r="U27" s="118">
        <f t="shared" si="9"/>
        <v>0</v>
      </c>
      <c r="V27" s="118">
        <f t="shared" si="9"/>
        <v>0</v>
      </c>
      <c r="W27" s="118">
        <f>SUMIF($B$4:$B$60,$P27,J$4:J$60)</f>
        <v>9</v>
      </c>
      <c r="X27" s="118">
        <f>IF(Y27=0,T27,T27+AG27+AH27+AI27)</f>
        <v>3</v>
      </c>
      <c r="Y27" s="118">
        <f>IF(OR(AND(S26=S27,R26=R27,Q26=Q27),AND(S28=S27,S27=S26,R28=R27,R27=R26,Q28=Q27,Q27=Q26)),P27,0)</f>
        <v>0</v>
      </c>
      <c r="Z27" s="118">
        <f>SUMIF($AY$4:$AY$60,$Y27,$AX$4:$AX$60)+SUMIF($BB$4:$BB$60,$Y27,$AX$4:$AX$60)</f>
        <v>0</v>
      </c>
      <c r="AA27" s="118">
        <f>SUMIF($AZ$4:$AZ$60,$Y27,$AX$4:$AX$60)+SUMIF($BC$4:$BC$60,$Y27,$AX$4:$AX$60)</f>
        <v>0</v>
      </c>
      <c r="AB27" s="118">
        <f>SUMIF($BA$4:$BA$60,$Y27,$AX$4:$AX$60)+SUMIF($BD$4:$BD$60,$Y27,$AX$4:$AX$60)</f>
        <v>0</v>
      </c>
      <c r="AC27" s="118">
        <f>SUMIF(AY$4:AY$60,Y27,AS$4:AS$60)+SUMIF(BB$4:BB$60,Y27,AW$4:AW$60)+SUMIF(AZ$4:AZ$60,Y27,AS$4:AS$60)+SUMIF(BC$4:BC$60,Y27,AW$4:AW$60)</f>
        <v>0</v>
      </c>
      <c r="AD27" s="118">
        <f>SUMIF(BA$4:BA$60,Y27,AS$4:AS$60)+SUMIF(BD$4:BD$60,Y27,AW$4:AW$60)+SUMIF(AZ$4:AZ$60,Y27,AS$4:AS$60)+SUMIF(BC$4:BC$60,Y27,AW$4:AW$60)</f>
        <v>0</v>
      </c>
      <c r="AE27" s="118">
        <f>AC27-AD27+100</f>
        <v>100</v>
      </c>
      <c r="AF27" s="117" t="str">
        <f>IF(Y27&lt;&gt;0,Z27*3+AA27,"")</f>
        <v/>
      </c>
      <c r="AG27" s="118">
        <f>IF(Y27&lt;&gt;0,RANK(AF27,AF$25:AF$28)-1,5)</f>
        <v>5</v>
      </c>
      <c r="AH27" s="118">
        <f>IF(Y27&lt;&gt;0,SUMPRODUCT((AF$25:AF$28=AF27)*(AE$25:AE$28&gt;AE27)),5)</f>
        <v>5</v>
      </c>
      <c r="AI27" s="118">
        <f>IF(Y27&lt;&gt;0,SUMPRODUCT((AF$25:AF$28=AF27)*(AE$25:AE$28=AE27)*(AC$25:AC$28&gt;AC27)),5)</f>
        <v>5</v>
      </c>
      <c r="AJ27" s="118">
        <f>IF(Y27&lt;&gt;0,SUMPRODUCT(($AF25:$AF28=AF27)*($AE25:$AE28=AE27)*($AC25:$AC28=AC27)*($AK25:$AK28&lt;AK27)),5)</f>
        <v>5</v>
      </c>
      <c r="AK27" s="118">
        <f>IF(AL27=0,0,VLOOKUP(Y27,Tournament!AE$31:AF$34,2,FALSE))</f>
        <v>0</v>
      </c>
      <c r="AL27" s="118">
        <f>IF(Y27&lt;&gt;0,IF(OR(SUM(AG27:AI27)=SUM(AG26:AI26),SUM(AG27:AI27)=SUM(AG28:AI28)),1,0),0)</f>
        <v>0</v>
      </c>
      <c r="AM27" s="118">
        <f>IF(AN27&lt;&gt;0,AM26+1,AM26)</f>
        <v>0</v>
      </c>
      <c r="AN27" s="118">
        <f>IF(AL27=1,Y27,0)</f>
        <v>0</v>
      </c>
      <c r="AO27" s="118">
        <v>24</v>
      </c>
      <c r="AP27" s="118" t="str">
        <f>IF(AND(Tournament!J37&lt;&gt;"",Tournament!L37&lt;&gt;""),IF(Tournament!J37&gt;Tournament!L37,Tournament!H37,""),"")</f>
        <v/>
      </c>
      <c r="AQ27" s="118" t="str">
        <f>IF(AND(Tournament!J37&lt;&gt;"",Tournament!L37&lt;&gt;""),IF(Tournament!J37=Tournament!L37,Tournament!H37,""),"")</f>
        <v/>
      </c>
      <c r="AR27" s="118" t="str">
        <f>IF(AND(Tournament!J37&lt;&gt;"",Tournament!L37&lt;&gt;""),IF(Tournament!J37&gt;Tournament!L37,Tournament!N37,""),"")</f>
        <v/>
      </c>
      <c r="AS27" s="118">
        <f>IF(AND(Tournament!J37&lt;&gt;"",Tournament!L37&lt;&gt;""),Tournament!J37,0)</f>
        <v>0</v>
      </c>
      <c r="AT27" s="118" t="str">
        <f>IF(AND(Tournament!J37&lt;&gt;"",Tournament!L37&lt;&gt;""),IF(Tournament!J37&lt;Tournament!L37,Tournament!N37,""),"")</f>
        <v>Costa Rica</v>
      </c>
      <c r="AU27" s="118" t="str">
        <f>IF(AND(Tournament!J37&lt;&gt;"",Tournament!L37&lt;&gt;""),IF(Tournament!J37=Tournament!L37,Tournament!N37,""),"")</f>
        <v/>
      </c>
      <c r="AV27" s="118" t="str">
        <f>IF(AND(Tournament!J37&lt;&gt;"",Tournament!L37&lt;&gt;""),IF(Tournament!J37&lt;Tournament!L37,Tournament!H37,""),"")</f>
        <v>Olaszország</v>
      </c>
      <c r="AW27" s="118">
        <f>IF(AND(Tournament!J37&lt;&gt;"",Tournament!L37&lt;&gt;""),Tournament!L37,0)</f>
        <v>1</v>
      </c>
      <c r="AX27" s="118">
        <v>1</v>
      </c>
      <c r="AY27" s="118" t="str">
        <f t="shared" si="1"/>
        <v/>
      </c>
      <c r="AZ27" s="118" t="str">
        <f t="shared" si="2"/>
        <v/>
      </c>
      <c r="BA27" s="118" t="str">
        <f t="shared" si="3"/>
        <v/>
      </c>
      <c r="BB27" s="118" t="str">
        <f t="shared" si="4"/>
        <v/>
      </c>
      <c r="BC27" s="118" t="str">
        <f t="shared" si="5"/>
        <v/>
      </c>
      <c r="BD27" s="118" t="str">
        <f t="shared" si="6"/>
        <v/>
      </c>
      <c r="BE27" s="118">
        <v>25</v>
      </c>
      <c r="BF27" s="118" t="str">
        <f>Tournament!H38</f>
        <v>Svájc</v>
      </c>
      <c r="BG27" s="118">
        <f>IF(AND(Tournament!J38&lt;&gt;"",Tournament!L38&lt;&gt;""),Tournament!J38,"")</f>
        <v>2</v>
      </c>
      <c r="BH27" s="118">
        <f>IF(AND(Tournament!L38&lt;&gt;"",Tournament!J38&lt;&gt;""),Tournament!L38,"")</f>
        <v>5</v>
      </c>
      <c r="BI27" s="118" t="str">
        <f>Tournament!N38</f>
        <v>Franciaország</v>
      </c>
    </row>
    <row r="28" spans="1:61">
      <c r="A28" s="118">
        <f>K28+L28+M28+N28</f>
        <v>3</v>
      </c>
      <c r="B28" s="118" t="str">
        <f>Tournament!N21</f>
        <v>Olaszország</v>
      </c>
      <c r="C28" s="118">
        <f>SUMIF(AP$4:AP$60,B28,AX$4:AX$60)+SUMIF(AT$4:AT$60,B28,AX$4:AX$60)</f>
        <v>1</v>
      </c>
      <c r="D28" s="118">
        <f>SUMIF(AQ$4:AQ$60,B28,AX$4:AX$60)+SUMIF(AU$4:AU$60,B28,AX$4:AX$60)</f>
        <v>0</v>
      </c>
      <c r="E28" s="118">
        <f>SUMIF(AR$4:AR$60,B28,AX$4:AX$60)+SUMIF(AV$4:AV$60,B28,AX$4:AX$60)</f>
        <v>2</v>
      </c>
      <c r="F28" s="118">
        <f>SUMIF($BF$3:$BF$60,B28,$BG$3:$BG$60)+SUMIF($BI$3:$BI$60,B28,$BH$3:$BH$60)</f>
        <v>2</v>
      </c>
      <c r="G28" s="118">
        <f>SUMIF($BI$3:$BI$60,B28,$BG$3:$BG$60)+SUMIF($BF$3:$BF$60,B28,$BH$3:$BH$60)</f>
        <v>3</v>
      </c>
      <c r="H28" s="118">
        <f>F28-G28+100</f>
        <v>99</v>
      </c>
      <c r="I28" s="117">
        <f>C28*3+D28</f>
        <v>3</v>
      </c>
      <c r="J28" s="118">
        <v>9</v>
      </c>
      <c r="K28" s="118">
        <f>RANK(I28,I$25:I$28)</f>
        <v>3</v>
      </c>
      <c r="L28" s="118">
        <f>SUMPRODUCT((I$25:I$28=I28)*(H$25:H$28&gt;H28))</f>
        <v>0</v>
      </c>
      <c r="M28" s="118">
        <f>SUMPRODUCT((I$25:I$28=I28)*(H$25:H$28=H28)*(F$25:F$28&gt;F28))</f>
        <v>0</v>
      </c>
      <c r="N28" s="118">
        <f>SUMPRODUCT((I$25:I$28=I28)*(H$25:H$28=H28)*(F$25:F$28=F28)*(J$25:J$28&lt;J28))</f>
        <v>0</v>
      </c>
      <c r="O28" s="118">
        <f>IF(SUM(AG25:AI28)=0,IF(COUNTIF(AJ25:AJ28,0)&gt;1,4,AJ28+1),IF(X28=X27,IF(X28=3,4,X28),IF(X28=5,3,IF(X28=6,4,X28))))</f>
        <v>4</v>
      </c>
      <c r="P28" s="118" t="str">
        <f>VLOOKUP(4,A$25:B$28,2,FALSE)</f>
        <v>Anglia</v>
      </c>
      <c r="Q28" s="118">
        <f>SUMIF(B$4:B$60,P28,F$4:F$60)</f>
        <v>2</v>
      </c>
      <c r="R28" s="118">
        <f>SUMIF(B$4:B$60,P28,H$4:H$60)</f>
        <v>98</v>
      </c>
      <c r="S28" s="117">
        <f>SUMIF($B$4:$B$60,$P28,I$4:I$60)</f>
        <v>1</v>
      </c>
      <c r="T28" s="118">
        <f>SUMIF($B$4:$B$60,$P28,A$4:A$60)</f>
        <v>4</v>
      </c>
      <c r="U28" s="118">
        <f t="shared" si="9"/>
        <v>0</v>
      </c>
      <c r="V28" s="118">
        <f t="shared" si="9"/>
        <v>0</v>
      </c>
      <c r="W28" s="118">
        <f>SUMIF($B$4:$B$60,$P28,J$4:J$60)</f>
        <v>10</v>
      </c>
      <c r="X28" s="118">
        <f>IF(Y28=0,T28,T28+AG28+AH28+AI28)</f>
        <v>4</v>
      </c>
      <c r="Y28" s="118">
        <f>IF(AND(S27=S28,S27=S26,R27=R28,R27=R26,Q27=Q28,Q27=Q26),P28,0)</f>
        <v>0</v>
      </c>
      <c r="Z28" s="118">
        <f>SUMIF($AY$4:$AY$60,$Y28,$AX$4:$AX$60)+SUMIF($BB$4:$BB$60,$Y28,$AX$4:$AX$60)</f>
        <v>0</v>
      </c>
      <c r="AA28" s="118">
        <f>SUMIF($AZ$4:$AZ$60,$Y28,$AX$4:$AX$60)+SUMIF($BC$4:$BC$60,$Y28,$AX$4:$AX$60)</f>
        <v>0</v>
      </c>
      <c r="AB28" s="118">
        <f>SUMIF($BA$4:$BA$60,$Y28,$AX$4:$AX$60)+SUMIF($BD$4:$BD$60,$Y28,$AX$4:$AX$60)</f>
        <v>0</v>
      </c>
      <c r="AC28" s="118">
        <f>SUMIF(AY$4:AY$60,Y28,AS$4:AS$60)+SUMIF(BB$4:BB$60,Y28,AW$4:AW$60)+SUMIF(AZ$4:AZ$60,Y28,AS$4:AS$60)+SUMIF(BC$4:BC$60,Y28,AW$4:AW$60)</f>
        <v>0</v>
      </c>
      <c r="AD28" s="118">
        <f>SUMIF(BA$4:BA$60,Y28,AS$4:AS$60)+SUMIF(BD$4:BD$60,Y28,AW$4:AW$60)+SUMIF(AZ$4:AZ$60,Y28,AS$4:AS$60)+SUMIF(BC$4:BC$60,Y28,AW$4:AW$60)</f>
        <v>0</v>
      </c>
      <c r="AE28" s="118">
        <f>AC28-AD28+100</f>
        <v>100</v>
      </c>
      <c r="AF28" s="117" t="str">
        <f>IF(Y28&lt;&gt;0,Z28*3+AA28,"")</f>
        <v/>
      </c>
      <c r="AG28" s="118">
        <f>IF(Y28&lt;&gt;0,RANK(AF28,AF$25:AF$28)-1,5)</f>
        <v>5</v>
      </c>
      <c r="AH28" s="118">
        <f>IF(Y28&lt;&gt;0,SUMPRODUCT((AF$25:AF$28=AF28)*(AE$25:AE$28&gt;AE28)),5)</f>
        <v>5</v>
      </c>
      <c r="AI28" s="118">
        <f>IF(Y28&lt;&gt;0,SUMPRODUCT((AF$25:AF$28=AF28)*(AE$25:AE$28=AE28)*(AC$25:AC$28&gt;AC28)),5)</f>
        <v>5</v>
      </c>
      <c r="AJ28" s="118">
        <f>IF(Y28&lt;&gt;0,SUMPRODUCT(($AF25:$AF28=AF28)*($AE25:$AE28=AE28)*($AC25:$AC28=AC28)*($AK25:$AK28&lt;AK28)),5)</f>
        <v>5</v>
      </c>
      <c r="AK28" s="118">
        <f>IF(AL28=0,0,VLOOKUP(Y28,Tournament!AE$31:AF$34,2,FALSE))</f>
        <v>0</v>
      </c>
      <c r="AL28" s="118">
        <f>IF(Y28&lt;&gt;0,IF(SUM(AG28:AI28)=SUM(AG27:AI27),1,0),0)</f>
        <v>0</v>
      </c>
      <c r="AM28" s="118">
        <f>IF(AN28&lt;&gt;0,AM27+1,AM27)</f>
        <v>0</v>
      </c>
      <c r="AN28" s="118">
        <f>IF(AL28=1,Y28,0)</f>
        <v>0</v>
      </c>
      <c r="AO28" s="118">
        <v>25</v>
      </c>
      <c r="AP28" s="118" t="str">
        <f>IF(AND(Tournament!J38&lt;&gt;"",Tournament!L38&lt;&gt;""),IF(Tournament!J38&gt;Tournament!L38,Tournament!H38,""),"")</f>
        <v/>
      </c>
      <c r="AQ28" s="118" t="str">
        <f>IF(AND(Tournament!J38&lt;&gt;"",Tournament!L38&lt;&gt;""),IF(Tournament!J38=Tournament!L38,Tournament!H38,""),"")</f>
        <v/>
      </c>
      <c r="AR28" s="118" t="str">
        <f>IF(AND(Tournament!J38&lt;&gt;"",Tournament!L38&lt;&gt;""),IF(Tournament!J38&gt;Tournament!L38,Tournament!N38,""),"")</f>
        <v/>
      </c>
      <c r="AS28" s="118">
        <f>IF(AND(Tournament!J38&lt;&gt;"",Tournament!L38&lt;&gt;""),Tournament!J38,0)</f>
        <v>2</v>
      </c>
      <c r="AT28" s="118" t="str">
        <f>IF(AND(Tournament!J38&lt;&gt;"",Tournament!L38&lt;&gt;""),IF(Tournament!J38&lt;Tournament!L38,Tournament!N38,""),"")</f>
        <v>Franciaország</v>
      </c>
      <c r="AU28" s="118" t="str">
        <f>IF(AND(Tournament!J38&lt;&gt;"",Tournament!L38&lt;&gt;""),IF(Tournament!J38=Tournament!L38,Tournament!N38,""),"")</f>
        <v/>
      </c>
      <c r="AV28" s="118" t="str">
        <f>IF(AND(Tournament!J38&lt;&gt;"",Tournament!L38&lt;&gt;""),IF(Tournament!J38&lt;Tournament!L38,Tournament!H38,""),"")</f>
        <v>Svájc</v>
      </c>
      <c r="AW28" s="118">
        <f>IF(AND(Tournament!J38&lt;&gt;"",Tournament!L38&lt;&gt;""),Tournament!L38,0)</f>
        <v>5</v>
      </c>
      <c r="AX28" s="118">
        <v>1</v>
      </c>
      <c r="AY28" s="118" t="str">
        <f t="shared" si="1"/>
        <v/>
      </c>
      <c r="AZ28" s="118" t="str">
        <f t="shared" si="2"/>
        <v/>
      </c>
      <c r="BA28" s="118" t="str">
        <f t="shared" si="3"/>
        <v/>
      </c>
      <c r="BB28" s="118" t="str">
        <f t="shared" si="4"/>
        <v/>
      </c>
      <c r="BC28" s="118" t="str">
        <f t="shared" si="5"/>
        <v/>
      </c>
      <c r="BD28" s="118" t="str">
        <f t="shared" si="6"/>
        <v/>
      </c>
      <c r="BE28" s="118">
        <v>26</v>
      </c>
      <c r="BF28" s="118" t="str">
        <f>Tournament!H39</f>
        <v>Hondurasz</v>
      </c>
      <c r="BG28" s="118">
        <f>IF(AND(Tournament!J39&lt;&gt;"",Tournament!L39&lt;&gt;""),Tournament!J39,"")</f>
        <v>1</v>
      </c>
      <c r="BH28" s="118">
        <f>IF(AND(Tournament!L39&lt;&gt;"",Tournament!J39&lt;&gt;""),Tournament!L39,"")</f>
        <v>2</v>
      </c>
      <c r="BI28" s="118" t="str">
        <f>Tournament!N39</f>
        <v>Ecuador</v>
      </c>
    </row>
    <row r="29" spans="1:61">
      <c r="AO29" s="118">
        <v>26</v>
      </c>
      <c r="AP29" s="118" t="str">
        <f>IF(AND(Tournament!J39&lt;&gt;"",Tournament!L39&lt;&gt;""),IF(Tournament!J39&gt;Tournament!L39,Tournament!H39,""),"")</f>
        <v/>
      </c>
      <c r="AQ29" s="118" t="str">
        <f>IF(AND(Tournament!J39&lt;&gt;"",Tournament!L39&lt;&gt;""),IF(Tournament!J39=Tournament!L39,Tournament!H39,""),"")</f>
        <v/>
      </c>
      <c r="AR29" s="118" t="str">
        <f>IF(AND(Tournament!J39&lt;&gt;"",Tournament!L39&lt;&gt;""),IF(Tournament!J39&gt;Tournament!L39,Tournament!N39,""),"")</f>
        <v/>
      </c>
      <c r="AS29" s="118">
        <f>IF(AND(Tournament!J39&lt;&gt;"",Tournament!L39&lt;&gt;""),Tournament!J39,0)</f>
        <v>1</v>
      </c>
      <c r="AT29" s="118" t="str">
        <f>IF(AND(Tournament!J39&lt;&gt;"",Tournament!L39&lt;&gt;""),IF(Tournament!J39&lt;Tournament!L39,Tournament!N39,""),"")</f>
        <v>Ecuador</v>
      </c>
      <c r="AU29" s="118" t="str">
        <f>IF(AND(Tournament!J39&lt;&gt;"",Tournament!L39&lt;&gt;""),IF(Tournament!J39=Tournament!L39,Tournament!N39,""),"")</f>
        <v/>
      </c>
      <c r="AV29" s="118" t="str">
        <f>IF(AND(Tournament!J39&lt;&gt;"",Tournament!L39&lt;&gt;""),IF(Tournament!J39&lt;Tournament!L39,Tournament!H39,""),"")</f>
        <v>Hondurasz</v>
      </c>
      <c r="AW29" s="118">
        <f>IF(AND(Tournament!J39&lt;&gt;"",Tournament!L39&lt;&gt;""),Tournament!L39,0)</f>
        <v>2</v>
      </c>
      <c r="AX29" s="118">
        <v>1</v>
      </c>
      <c r="AY29" s="118" t="str">
        <f t="shared" si="1"/>
        <v/>
      </c>
      <c r="AZ29" s="118" t="str">
        <f t="shared" si="2"/>
        <v/>
      </c>
      <c r="BA29" s="118" t="str">
        <f t="shared" si="3"/>
        <v/>
      </c>
      <c r="BB29" s="118" t="str">
        <f t="shared" si="4"/>
        <v/>
      </c>
      <c r="BC29" s="118" t="str">
        <f t="shared" si="5"/>
        <v/>
      </c>
      <c r="BD29" s="118" t="str">
        <f t="shared" si="6"/>
        <v/>
      </c>
      <c r="BE29" s="118">
        <v>27</v>
      </c>
      <c r="BF29" s="118" t="str">
        <f>Tournament!H40</f>
        <v>Argentína</v>
      </c>
      <c r="BG29" s="118">
        <f>IF(AND(Tournament!J40&lt;&gt;"",Tournament!L40&lt;&gt;""),Tournament!J40,"")</f>
        <v>1</v>
      </c>
      <c r="BH29" s="118">
        <f>IF(AND(Tournament!L40&lt;&gt;"",Tournament!J40&lt;&gt;""),Tournament!L40,"")</f>
        <v>0</v>
      </c>
      <c r="BI29" s="118" t="str">
        <f>Tournament!N40</f>
        <v>Irán</v>
      </c>
    </row>
    <row r="30" spans="1:61">
      <c r="I30" s="117"/>
      <c r="S30" s="117"/>
      <c r="AF30" s="117"/>
      <c r="AO30" s="118">
        <v>27</v>
      </c>
      <c r="AP30" s="118" t="str">
        <f>IF(AND(Tournament!J40&lt;&gt;"",Tournament!L40&lt;&gt;""),IF(Tournament!J40&gt;Tournament!L40,Tournament!H40,""),"")</f>
        <v>Argentína</v>
      </c>
      <c r="AQ30" s="118" t="str">
        <f>IF(AND(Tournament!J40&lt;&gt;"",Tournament!L40&lt;&gt;""),IF(Tournament!J40=Tournament!L40,Tournament!H40,""),"")</f>
        <v/>
      </c>
      <c r="AR30" s="118" t="str">
        <f>IF(AND(Tournament!J40&lt;&gt;"",Tournament!L40&lt;&gt;""),IF(Tournament!J40&gt;Tournament!L40,Tournament!N40,""),"")</f>
        <v>Irán</v>
      </c>
      <c r="AS30" s="118">
        <f>IF(AND(Tournament!J40&lt;&gt;"",Tournament!L40&lt;&gt;""),Tournament!J40,0)</f>
        <v>1</v>
      </c>
      <c r="AT30" s="118" t="str">
        <f>IF(AND(Tournament!J40&lt;&gt;"",Tournament!L40&lt;&gt;""),IF(Tournament!J40&lt;Tournament!L40,Tournament!N40,""),"")</f>
        <v/>
      </c>
      <c r="AU30" s="118" t="str">
        <f>IF(AND(Tournament!J40&lt;&gt;"",Tournament!L40&lt;&gt;""),IF(Tournament!J40=Tournament!L40,Tournament!N40,""),"")</f>
        <v/>
      </c>
      <c r="AV30" s="118" t="str">
        <f>IF(AND(Tournament!J40&lt;&gt;"",Tournament!L40&lt;&gt;""),IF(Tournament!J40&lt;Tournament!L40,Tournament!H40,""),"")</f>
        <v/>
      </c>
      <c r="AW30" s="118">
        <f>IF(AND(Tournament!J40&lt;&gt;"",Tournament!L40&lt;&gt;""),Tournament!L40,0)</f>
        <v>0</v>
      </c>
      <c r="AX30" s="118">
        <v>1</v>
      </c>
      <c r="AY30" s="118" t="str">
        <f t="shared" si="1"/>
        <v/>
      </c>
      <c r="AZ30" s="118" t="str">
        <f t="shared" si="2"/>
        <v/>
      </c>
      <c r="BA30" s="118" t="str">
        <f t="shared" si="3"/>
        <v/>
      </c>
      <c r="BB30" s="118" t="str">
        <f t="shared" si="4"/>
        <v/>
      </c>
      <c r="BC30" s="118" t="str">
        <f t="shared" si="5"/>
        <v/>
      </c>
      <c r="BD30" s="118" t="str">
        <f t="shared" si="6"/>
        <v/>
      </c>
      <c r="BE30" s="118">
        <v>28</v>
      </c>
      <c r="BF30" s="118" t="str">
        <f>Tournament!H41</f>
        <v>Nigéria</v>
      </c>
      <c r="BG30" s="118">
        <f>IF(AND(Tournament!J41&lt;&gt;"",Tournament!L41&lt;&gt;""),Tournament!J41,"")</f>
        <v>1</v>
      </c>
      <c r="BH30" s="118">
        <f>IF(AND(Tournament!L41&lt;&gt;"",Tournament!J41&lt;&gt;""),Tournament!L41,"")</f>
        <v>0</v>
      </c>
      <c r="BI30" s="118" t="str">
        <f>Tournament!N41</f>
        <v>Bosznia-Hercegovina</v>
      </c>
    </row>
    <row r="31" spans="1:61">
      <c r="I31" s="117"/>
      <c r="P31" s="118" t="s">
        <v>575</v>
      </c>
      <c r="S31" s="117"/>
      <c r="AF31" s="117"/>
      <c r="AO31" s="118">
        <v>28</v>
      </c>
      <c r="AP31" s="118" t="str">
        <f>IF(AND(Tournament!J41&lt;&gt;"",Tournament!L41&lt;&gt;""),IF(Tournament!J41&gt;Tournament!L41,Tournament!H41,""),"")</f>
        <v>Nigéria</v>
      </c>
      <c r="AQ31" s="118" t="str">
        <f>IF(AND(Tournament!J41&lt;&gt;"",Tournament!L41&lt;&gt;""),IF(Tournament!J41=Tournament!L41,Tournament!H41,""),"")</f>
        <v/>
      </c>
      <c r="AR31" s="118" t="str">
        <f>IF(AND(Tournament!J41&lt;&gt;"",Tournament!L41&lt;&gt;""),IF(Tournament!J41&gt;Tournament!L41,Tournament!N41,""),"")</f>
        <v>Bosznia-Hercegovina</v>
      </c>
      <c r="AS31" s="118">
        <f>IF(AND(Tournament!J41&lt;&gt;"",Tournament!L41&lt;&gt;""),Tournament!J41,0)</f>
        <v>1</v>
      </c>
      <c r="AT31" s="118" t="str">
        <f>IF(AND(Tournament!J41&lt;&gt;"",Tournament!L41&lt;&gt;""),IF(Tournament!J41&lt;Tournament!L41,Tournament!N41,""),"")</f>
        <v/>
      </c>
      <c r="AU31" s="118" t="str">
        <f>IF(AND(Tournament!J41&lt;&gt;"",Tournament!L41&lt;&gt;""),IF(Tournament!J41=Tournament!L41,Tournament!N41,""),"")</f>
        <v/>
      </c>
      <c r="AV31" s="118" t="str">
        <f>IF(AND(Tournament!J41&lt;&gt;"",Tournament!L41&lt;&gt;""),IF(Tournament!J41&lt;Tournament!L41,Tournament!H41,""),"")</f>
        <v/>
      </c>
      <c r="AW31" s="118">
        <f>IF(AND(Tournament!J41&lt;&gt;"",Tournament!L41&lt;&gt;""),Tournament!L41,0)</f>
        <v>0</v>
      </c>
      <c r="AX31" s="118">
        <v>1</v>
      </c>
      <c r="AY31" s="118" t="str">
        <f t="shared" si="1"/>
        <v/>
      </c>
      <c r="AZ31" s="118" t="str">
        <f t="shared" si="2"/>
        <v/>
      </c>
      <c r="BA31" s="118" t="str">
        <f t="shared" si="3"/>
        <v/>
      </c>
      <c r="BB31" s="118" t="str">
        <f t="shared" si="4"/>
        <v/>
      </c>
      <c r="BC31" s="118" t="str">
        <f t="shared" si="5"/>
        <v/>
      </c>
      <c r="BD31" s="118" t="str">
        <f t="shared" si="6"/>
        <v/>
      </c>
      <c r="BE31" s="118">
        <v>29</v>
      </c>
      <c r="BF31" s="118" t="str">
        <f>Tournament!H42</f>
        <v>Németország</v>
      </c>
      <c r="BG31" s="118">
        <f>IF(AND(Tournament!J42&lt;&gt;"",Tournament!L42&lt;&gt;""),Tournament!J42,"")</f>
        <v>2</v>
      </c>
      <c r="BH31" s="118">
        <f>IF(AND(Tournament!L42&lt;&gt;"",Tournament!J42&lt;&gt;""),Tournament!L42,"")</f>
        <v>2</v>
      </c>
      <c r="BI31" s="118" t="str">
        <f>Tournament!N42</f>
        <v>Ghána</v>
      </c>
    </row>
    <row r="32" spans="1:61">
      <c r="A32" s="118">
        <f>K32+L32+M32+N32</f>
        <v>2</v>
      </c>
      <c r="B32" s="118" t="str">
        <f>Tournament!H22</f>
        <v>Svájc</v>
      </c>
      <c r="C32" s="118">
        <f>SUMIF(AP$4:AP$60,B32,AX$4:AX$60)+SUMIF(AT$4:AT$60,B32,AX$4:AX$60)</f>
        <v>2</v>
      </c>
      <c r="D32" s="118">
        <f>SUMIF(AQ$4:AQ$60,B32,AX$4:AX$60)+SUMIF(AU$4:AU$60,B32,AX$4:AX$60)</f>
        <v>0</v>
      </c>
      <c r="E32" s="118">
        <f>SUMIF(AR$4:AR$60,B32,AX$4:AX$60)+SUMIF(AV$4:AV$60,B32,AX$4:AX$60)</f>
        <v>1</v>
      </c>
      <c r="F32" s="118">
        <f>SUMIF($BF$3:$BF$60,B32,$BG$3:$BG$60)+SUMIF($BI$3:$BI$60,B32,$BH$3:$BH$60)</f>
        <v>7</v>
      </c>
      <c r="G32" s="118">
        <f>SUMIF($BI$3:$BI$60,B32,$BG$3:$BG$60)+SUMIF($BF$3:$BF$60,B32,$BH$3:$BH$60)</f>
        <v>6</v>
      </c>
      <c r="H32" s="118">
        <f>F32-G32+100</f>
        <v>101</v>
      </c>
      <c r="I32" s="117">
        <f>C32*3+D32</f>
        <v>6</v>
      </c>
      <c r="J32" s="118">
        <v>7</v>
      </c>
      <c r="K32" s="118">
        <f>RANK(I32,I$32:I$35)</f>
        <v>2</v>
      </c>
      <c r="L32" s="118">
        <f>SUMPRODUCT((I$32:I$35=I32)*(H$32:H$35&gt;H32))</f>
        <v>0</v>
      </c>
      <c r="M32" s="118">
        <f>SUMPRODUCT((I$32:I$35=I32)*(H$32:H$35=H32)*(F$32:F$35&gt;F32))</f>
        <v>0</v>
      </c>
      <c r="N32" s="118">
        <f>SUMPRODUCT((I$32:I$35=I32)*(H$32:H$35=H32)*(F$32:F$35=F32)*(J$32:J$35&lt;J32))</f>
        <v>0</v>
      </c>
      <c r="O32" s="118">
        <f>IF(SUM(AG32:AI35)=0,IF(COUNTIF(AJ32:AJ35,0)&gt;1,1,AJ32+1),X32)</f>
        <v>1</v>
      </c>
      <c r="P32" s="118" t="str">
        <f>VLOOKUP(1,A$32:B$35,2,FALSE)</f>
        <v>Franciaország</v>
      </c>
      <c r="Q32" s="118">
        <f>SUMIF(B$4:B$60,P32,F$4:F$60)</f>
        <v>8</v>
      </c>
      <c r="R32" s="118">
        <f>SUMIF(B$4:B$60,P32,H$4:H$60)</f>
        <v>106</v>
      </c>
      <c r="S32" s="117">
        <f>SUMIF($B$4:$B$60,$P32,I$4:I$60)</f>
        <v>7</v>
      </c>
      <c r="T32" s="118">
        <f>SUMIF($B$4:$B$60,$P32,A$4:A$60)</f>
        <v>1</v>
      </c>
      <c r="U32" s="118">
        <f t="shared" ref="U32:V35" si="10">SUMIF($B$4:$B$60,$P32,L$4:L$60)</f>
        <v>0</v>
      </c>
      <c r="V32" s="118">
        <f t="shared" si="10"/>
        <v>0</v>
      </c>
      <c r="W32" s="118">
        <f>SUMIF($B$4:$B$60,$P32,J$4:J$60)</f>
        <v>20</v>
      </c>
      <c r="X32" s="118">
        <f>IF(Y32=0,T32,T32+AG32+AH32+AI32)</f>
        <v>1</v>
      </c>
      <c r="Y32" s="118">
        <f>IF(AND(S32=S33,R32=R33,Q32=Q33),P32,0)</f>
        <v>0</v>
      </c>
      <c r="Z32" s="118">
        <f>SUMIF($AY$4:$AY$60,$Y32,$AX$4:$AX$60)+SUMIF($BB$4:$BB$60,$Y32,$AX$4:$AX$60)</f>
        <v>0</v>
      </c>
      <c r="AA32" s="118">
        <f>SUMIF($AZ$4:$AZ$60,$Y32,$AX$4:$AX$60)+SUMIF($BC$4:$BC$60,$Y32,$AX$4:$AX$60)</f>
        <v>0</v>
      </c>
      <c r="AB32" s="118">
        <f>SUMIF($BA$4:$BA$60,$Y32,$AX$4:$AX$60)+SUMIF($BD$4:$BD$60,$Y32,$AX$4:$AX$60)</f>
        <v>0</v>
      </c>
      <c r="AC32" s="118">
        <f>SUMIF(AY$4:AY$60,Y32,AS$4:AS$60)+SUMIF(BB$4:BB$60,Y32,AW$4:AW$60)+SUMIF(AZ$4:AZ$60,Y32,AS$4:AS$60)+SUMIF(BC$4:BC$60,Y32,AW$4:AW$60)</f>
        <v>0</v>
      </c>
      <c r="AD32" s="118">
        <f>SUMIF(BA$4:BA$60,Y32,AS$4:AS$60)+SUMIF(BD$4:BD$60,Y32,AW$4:AW$60)+SUMIF(AZ$4:AZ$60,Y32,AS$4:AS$60)+SUMIF(BC$4:BC$60,Y32,AW$4:AW$60)</f>
        <v>0</v>
      </c>
      <c r="AE32" s="118">
        <f>AC32-AD32+100</f>
        <v>100</v>
      </c>
      <c r="AF32" s="117" t="str">
        <f>IF(Y32&lt;&gt;0,Z32*3+AA32,"")</f>
        <v/>
      </c>
      <c r="AG32" s="118">
        <f>IF(Y32&lt;&gt;0,RANK(AF32,AF$32:AF$35)-1,5)</f>
        <v>5</v>
      </c>
      <c r="AH32" s="118">
        <f>IF(Y32&lt;&gt;0,SUMPRODUCT((AF$32:AF$35=AF32)*(AE$32:AE$35&gt;AE32)),5)</f>
        <v>5</v>
      </c>
      <c r="AI32" s="118">
        <f>IF(Y32&lt;&gt;0,SUMPRODUCT((AF$32:AF$35=AF32)*(AE$32:AE$35=AE32)*(AC$32:AC$35&gt;AC32)),5)</f>
        <v>5</v>
      </c>
      <c r="AJ32" s="118">
        <f>IF(Y32&lt;&gt;0,SUMPRODUCT(($AF32:$AF35=AF32)*($AE32:$AE35=AE32)*($AC32:$AC35=AC32)*($AK32:$AK35&lt;AK32)),5)</f>
        <v>5</v>
      </c>
      <c r="AK32" s="118">
        <f>IF(AL32=0,0,VLOOKUP(Y32,Tournament!AE$37:AF$40,2,FALSE))</f>
        <v>0</v>
      </c>
      <c r="AL32" s="118">
        <f>IF(Y32&lt;&gt;0,IF(SUM(AG32:AI32)=SUM(AG33:AI33),1,0),0)</f>
        <v>0</v>
      </c>
      <c r="AM32" s="118">
        <f>IF(AN32&lt;&gt;0,1,0)</f>
        <v>0</v>
      </c>
      <c r="AN32" s="118">
        <f>IF(AL32=1,Y32,0)</f>
        <v>0</v>
      </c>
      <c r="AO32" s="118">
        <v>29</v>
      </c>
      <c r="AP32" s="118" t="str">
        <f>IF(AND(Tournament!J42&lt;&gt;"",Tournament!L42&lt;&gt;""),IF(Tournament!J42&gt;Tournament!L42,Tournament!H42,""),"")</f>
        <v/>
      </c>
      <c r="AQ32" s="118" t="str">
        <f>IF(AND(Tournament!J42&lt;&gt;"",Tournament!L42&lt;&gt;""),IF(Tournament!J42=Tournament!L42,Tournament!H42,""),"")</f>
        <v>Németország</v>
      </c>
      <c r="AR32" s="118" t="str">
        <f>IF(AND(Tournament!J42&lt;&gt;"",Tournament!L42&lt;&gt;""),IF(Tournament!J42&gt;Tournament!L42,Tournament!N42,""),"")</f>
        <v/>
      </c>
      <c r="AS32" s="118">
        <f>IF(AND(Tournament!J42&lt;&gt;"",Tournament!L42&lt;&gt;""),Tournament!J42,0)</f>
        <v>2</v>
      </c>
      <c r="AT32" s="118" t="str">
        <f>IF(AND(Tournament!J42&lt;&gt;"",Tournament!L42&lt;&gt;""),IF(Tournament!J42&lt;Tournament!L42,Tournament!N42,""),"")</f>
        <v/>
      </c>
      <c r="AU32" s="118" t="str">
        <f>IF(AND(Tournament!J42&lt;&gt;"",Tournament!L42&lt;&gt;""),IF(Tournament!J42=Tournament!L42,Tournament!N42,""),"")</f>
        <v>Ghána</v>
      </c>
      <c r="AV32" s="118" t="str">
        <f>IF(AND(Tournament!J42&lt;&gt;"",Tournament!L42&lt;&gt;""),IF(Tournament!J42&lt;Tournament!L42,Tournament!H42,""),"")</f>
        <v/>
      </c>
      <c r="AW32" s="118">
        <f>IF(AND(Tournament!J42&lt;&gt;"",Tournament!L42&lt;&gt;""),Tournament!L42,0)</f>
        <v>2</v>
      </c>
      <c r="AX32" s="118">
        <v>1</v>
      </c>
      <c r="AY32" s="118" t="str">
        <f t="shared" si="1"/>
        <v/>
      </c>
      <c r="AZ32" s="118" t="str">
        <f t="shared" si="2"/>
        <v/>
      </c>
      <c r="BA32" s="118" t="str">
        <f t="shared" si="3"/>
        <v/>
      </c>
      <c r="BB32" s="118" t="str">
        <f t="shared" si="4"/>
        <v/>
      </c>
      <c r="BC32" s="118" t="str">
        <f t="shared" si="5"/>
        <v/>
      </c>
      <c r="BD32" s="118" t="str">
        <f t="shared" si="6"/>
        <v/>
      </c>
      <c r="BE32" s="118">
        <v>30</v>
      </c>
      <c r="BF32" s="118" t="str">
        <f>Tournament!H43</f>
        <v>Egyesült Államok</v>
      </c>
      <c r="BG32" s="118">
        <f>IF(AND(Tournament!J43&lt;&gt;"",Tournament!L43&lt;&gt;""),Tournament!J43,"")</f>
        <v>2</v>
      </c>
      <c r="BH32" s="118">
        <f>IF(AND(Tournament!L43&lt;&gt;"",Tournament!J43&lt;&gt;""),Tournament!L43,"")</f>
        <v>2</v>
      </c>
      <c r="BI32" s="118" t="str">
        <f>Tournament!N43</f>
        <v>Portugália</v>
      </c>
    </row>
    <row r="33" spans="1:61">
      <c r="A33" s="118">
        <f>K33+L33+M33+N33</f>
        <v>3</v>
      </c>
      <c r="B33" s="118" t="str">
        <f>Tournament!N22</f>
        <v>Ecuador</v>
      </c>
      <c r="C33" s="118">
        <f>SUMIF(AP$4:AP$60,B33,AX$4:AX$60)+SUMIF(AT$4:AT$60,B33,AX$4:AX$60)</f>
        <v>1</v>
      </c>
      <c r="D33" s="118">
        <f>SUMIF(AQ$4:AQ$60,B33,AX$4:AX$60)+SUMIF(AU$4:AU$60,B33,AX$4:AX$60)</f>
        <v>1</v>
      </c>
      <c r="E33" s="118">
        <f>SUMIF(AR$4:AR$60,B33,AX$4:AX$60)+SUMIF(AV$4:AV$60,B33,AX$4:AX$60)</f>
        <v>1</v>
      </c>
      <c r="F33" s="118">
        <f>SUMIF($BF$3:$BF$60,B33,$BG$3:$BG$60)+SUMIF($BI$3:$BI$60,B33,$BH$3:$BH$60)</f>
        <v>3</v>
      </c>
      <c r="G33" s="118">
        <f>SUMIF($BI$3:$BI$60,B33,$BG$3:$BG$60)+SUMIF($BF$3:$BF$60,B33,$BH$3:$BH$60)</f>
        <v>3</v>
      </c>
      <c r="H33" s="118">
        <f>F33-G33+100</f>
        <v>100</v>
      </c>
      <c r="I33" s="117">
        <f>C33*3+D33</f>
        <v>4</v>
      </c>
      <c r="J33" s="118">
        <v>21</v>
      </c>
      <c r="K33" s="118">
        <f>RANK(I33,I$32:I$35)</f>
        <v>3</v>
      </c>
      <c r="L33" s="118">
        <f>SUMPRODUCT((I$32:I$35=I33)*(H$32:H$35&gt;H33))</f>
        <v>0</v>
      </c>
      <c r="M33" s="118">
        <f>SUMPRODUCT((I$32:I$35=I33)*(H$32:H$35=H33)*(F$32:F$35&gt;F33))</f>
        <v>0</v>
      </c>
      <c r="N33" s="118">
        <f>SUMPRODUCT((I$32:I$35=I33)*(H$32:H$35=H33)*(F$32:F$35=F33)*(J$32:J$35&lt;J33))</f>
        <v>0</v>
      </c>
      <c r="O33" s="118">
        <f>IF(SUM(AG32:AI35)=0,IF(COUNTIF(AJ32:AJ35,0)&gt;1,2,AJ33+1),IF(AND(X32=1,X33=3,Y32&lt;&gt;0,Y33&lt;&gt;0,Y34=0,Y35=0),2,IF(AND(X32=2,X33=2,Y32&lt;&gt;0,Y33&lt;&gt;0,Y34=0,Y35=0),1,X33)))</f>
        <v>2</v>
      </c>
      <c r="P33" s="118" t="str">
        <f>VLOOKUP(2,A$32:B$35,2,FALSE)</f>
        <v>Svájc</v>
      </c>
      <c r="Q33" s="118">
        <f>SUMIF(B$4:B$60,P33,F$4:F$60)</f>
        <v>7</v>
      </c>
      <c r="R33" s="118">
        <f>SUMIF(B$4:B$60,P33,H$4:H$60)</f>
        <v>101</v>
      </c>
      <c r="S33" s="117">
        <f>SUMIF($B$4:$B$60,$P33,I$4:I$60)</f>
        <v>6</v>
      </c>
      <c r="T33" s="118">
        <f>SUMIF($B$4:$B$60,$P33,A$4:A$60)</f>
        <v>2</v>
      </c>
      <c r="U33" s="118">
        <f t="shared" si="10"/>
        <v>0</v>
      </c>
      <c r="V33" s="118">
        <f t="shared" si="10"/>
        <v>0</v>
      </c>
      <c r="W33" s="118">
        <f>SUMIF($B$4:$B$60,$P33,J$4:J$60)</f>
        <v>7</v>
      </c>
      <c r="X33" s="118">
        <f>IF(Y33=0,T33,T33+AG33+AH33+AI33)</f>
        <v>2</v>
      </c>
      <c r="Y33" s="118">
        <f>IF(OR(AND(S32=S33,R32=R33,Q32=Q33),AND(S34=S33,R34=R33,Q34=Q33)),P33,0)</f>
        <v>0</v>
      </c>
      <c r="Z33" s="118">
        <f>SUMIF($AY$4:$AY$60,$Y33,$AX$4:$AX$60)+SUMIF($BB$4:$BB$60,$Y33,$AX$4:$AX$60)</f>
        <v>0</v>
      </c>
      <c r="AA33" s="118">
        <f>SUMIF($AZ$4:$AZ$60,$Y33,$AX$4:$AX$60)+SUMIF($BC$4:$BC$60,$Y33,$AX$4:$AX$60)</f>
        <v>0</v>
      </c>
      <c r="AB33" s="118">
        <f>SUMIF($BA$4:$BA$60,$Y33,$AX$4:$AX$60)+SUMIF($BD$4:$BD$60,$Y33,$AX$4:$AX$60)</f>
        <v>0</v>
      </c>
      <c r="AC33" s="118">
        <f>SUMIF(AY$4:AY$60,Y33,AS$4:AS$60)+SUMIF(BB$4:BB$60,Y33,AW$4:AW$60)+SUMIF(AZ$4:AZ$60,Y33,AS$4:AS$60)+SUMIF(BC$4:BC$60,Y33,AW$4:AW$60)</f>
        <v>0</v>
      </c>
      <c r="AD33" s="118">
        <f>SUMIF(BA$4:BA$60,Y33,AS$4:AS$60)+SUMIF(BD$4:BD$60,Y33,AW$4:AW$60)+SUMIF(AZ$4:AZ$60,Y33,AS$4:AS$60)+SUMIF(BC$4:BC$60,Y33,AW$4:AW$60)</f>
        <v>0</v>
      </c>
      <c r="AE33" s="118">
        <f>AC33-AD33+100</f>
        <v>100</v>
      </c>
      <c r="AF33" s="117" t="str">
        <f>IF(Y33&lt;&gt;0,Z33*3+AA33,"")</f>
        <v/>
      </c>
      <c r="AG33" s="118">
        <f>IF(Y33&lt;&gt;0,RANK(AF33,AF$32:AF$35)-1,5)</f>
        <v>5</v>
      </c>
      <c r="AH33" s="118">
        <f>IF(Y33&lt;&gt;0,SUMPRODUCT((AF$32:AF$35=AF33)*(AE$32:AE$35&gt;AE33)),5)</f>
        <v>5</v>
      </c>
      <c r="AI33" s="118">
        <f>IF(Y33&lt;&gt;0,SUMPRODUCT((AF$32:AF$35=AF33)*(AE$32:AE$35=AE33)*(AC$32:AC$35&gt;AC33)),5)</f>
        <v>5</v>
      </c>
      <c r="AJ33" s="118">
        <f>IF(Y33&lt;&gt;0,SUMPRODUCT(($AF32:$AF35=AF33)*($AE32:$AE35=AE33)*($AC32:$AC35=AC33)*($AK32:$AK35&lt;AK33)),5)</f>
        <v>5</v>
      </c>
      <c r="AK33" s="118">
        <f>IF(AL33=0,0,VLOOKUP(Y33,Tournament!AE$37:AF$40,2,FALSE))</f>
        <v>0</v>
      </c>
      <c r="AL33" s="118">
        <f>IF(Y33&lt;&gt;0,IF(OR(SUM(AG33:AI33)=SUM(AG32:AI32),SUM(AG33:AI33)=SUM(AG34:AI34)),1,0),0)</f>
        <v>0</v>
      </c>
      <c r="AM33" s="118">
        <f>IF(AN33&lt;&gt;0,AM32+1,AM32)</f>
        <v>0</v>
      </c>
      <c r="AN33" s="118">
        <f>IF(AL33=1,Y33,0)</f>
        <v>0</v>
      </c>
      <c r="AO33" s="118">
        <v>30</v>
      </c>
      <c r="AP33" s="118" t="str">
        <f>IF(AND(Tournament!J43&lt;&gt;"",Tournament!L43&lt;&gt;""),IF(Tournament!J43&gt;Tournament!L43,Tournament!H43,""),"")</f>
        <v/>
      </c>
      <c r="AQ33" s="118" t="str">
        <f>IF(AND(Tournament!J43&lt;&gt;"",Tournament!L43&lt;&gt;""),IF(Tournament!J43=Tournament!L43,Tournament!H43,""),"")</f>
        <v>Egyesült Államok</v>
      </c>
      <c r="AR33" s="118" t="str">
        <f>IF(AND(Tournament!J43&lt;&gt;"",Tournament!L43&lt;&gt;""),IF(Tournament!J43&gt;Tournament!L43,Tournament!N43,""),"")</f>
        <v/>
      </c>
      <c r="AS33" s="118">
        <f>IF(AND(Tournament!J43&lt;&gt;"",Tournament!L43&lt;&gt;""),Tournament!J43,0)</f>
        <v>2</v>
      </c>
      <c r="AT33" s="118" t="str">
        <f>IF(AND(Tournament!J43&lt;&gt;"",Tournament!L43&lt;&gt;""),IF(Tournament!J43&lt;Tournament!L43,Tournament!N43,""),"")</f>
        <v/>
      </c>
      <c r="AU33" s="118" t="str">
        <f>IF(AND(Tournament!J43&lt;&gt;"",Tournament!L43&lt;&gt;""),IF(Tournament!J43=Tournament!L43,Tournament!N43,""),"")</f>
        <v>Portugália</v>
      </c>
      <c r="AV33" s="118" t="str">
        <f>IF(AND(Tournament!J43&lt;&gt;"",Tournament!L43&lt;&gt;""),IF(Tournament!J43&lt;Tournament!L43,Tournament!H43,""),"")</f>
        <v/>
      </c>
      <c r="AW33" s="118">
        <f>IF(AND(Tournament!J43&lt;&gt;"",Tournament!L43&lt;&gt;""),Tournament!L43,0)</f>
        <v>2</v>
      </c>
      <c r="AX33" s="118">
        <v>1</v>
      </c>
      <c r="AY33" s="118" t="str">
        <f t="shared" si="1"/>
        <v/>
      </c>
      <c r="AZ33" s="118" t="str">
        <f t="shared" si="2"/>
        <v/>
      </c>
      <c r="BA33" s="118" t="str">
        <f t="shared" si="3"/>
        <v/>
      </c>
      <c r="BB33" s="118" t="str">
        <f t="shared" si="4"/>
        <v/>
      </c>
      <c r="BC33" s="118" t="str">
        <f t="shared" si="5"/>
        <v/>
      </c>
      <c r="BD33" s="118" t="str">
        <f t="shared" si="6"/>
        <v/>
      </c>
      <c r="BE33" s="118">
        <v>31</v>
      </c>
      <c r="BF33" s="118" t="str">
        <f>Tournament!H44</f>
        <v>Belgium</v>
      </c>
      <c r="BG33" s="118">
        <f>IF(AND(Tournament!J44&lt;&gt;"",Tournament!L44&lt;&gt;""),Tournament!J44,"")</f>
        <v>1</v>
      </c>
      <c r="BH33" s="118">
        <f>IF(AND(Tournament!L44&lt;&gt;"",Tournament!J44&lt;&gt;""),Tournament!L44,"")</f>
        <v>0</v>
      </c>
      <c r="BI33" s="118" t="str">
        <f>Tournament!N44</f>
        <v>Oroszország</v>
      </c>
    </row>
    <row r="34" spans="1:61">
      <c r="A34" s="118">
        <f>K34+L34+M34+N34</f>
        <v>1</v>
      </c>
      <c r="B34" s="118" t="str">
        <f>Tournament!H23</f>
        <v>Franciaország</v>
      </c>
      <c r="C34" s="118">
        <f>SUMIF(AP$4:AP$60,B34,AX$4:AX$60)+SUMIF(AT$4:AT$60,B34,AX$4:AX$60)</f>
        <v>2</v>
      </c>
      <c r="D34" s="118">
        <f>SUMIF(AQ$4:AQ$60,B34,AX$4:AX$60)+SUMIF(AU$4:AU$60,B34,AX$4:AX$60)</f>
        <v>1</v>
      </c>
      <c r="E34" s="118">
        <f>SUMIF(AR$4:AR$60,B34,AX$4:AX$60)+SUMIF(AV$4:AV$60,B34,AX$4:AX$60)</f>
        <v>0</v>
      </c>
      <c r="F34" s="118">
        <f>SUMIF($BF$3:$BF$60,B34,$BG$3:$BG$60)+SUMIF($BI$3:$BI$60,B34,$BH$3:$BH$60)</f>
        <v>8</v>
      </c>
      <c r="G34" s="118">
        <f>SUMIF($BI$3:$BI$60,B34,$BG$3:$BG$60)+SUMIF($BF$3:$BF$60,B34,$BH$3:$BH$60)</f>
        <v>2</v>
      </c>
      <c r="H34" s="118">
        <f>F34-G34+100</f>
        <v>106</v>
      </c>
      <c r="I34" s="117">
        <f>C34*3+D34</f>
        <v>7</v>
      </c>
      <c r="J34" s="118">
        <v>20</v>
      </c>
      <c r="K34" s="118">
        <f>RANK(I34,I$32:I$35)</f>
        <v>1</v>
      </c>
      <c r="L34" s="118">
        <f>SUMPRODUCT((I$32:I$35=I34)*(H$32:H$35&gt;H34))</f>
        <v>0</v>
      </c>
      <c r="M34" s="118">
        <f>SUMPRODUCT((I$32:I$35=I34)*(H$32:H$35=H34)*(F$32:F$35&gt;F34))</f>
        <v>0</v>
      </c>
      <c r="N34" s="118">
        <f>SUMPRODUCT((I$32:I$35=I34)*(H$32:H$35=H34)*(F$32:F$35=F34)*(J$32:J$35&lt;J34))</f>
        <v>0</v>
      </c>
      <c r="O34" s="118">
        <f>IF(SUM(AG32:AI35)=0,IF(COUNTIF(AJ32:AJ35,0)&gt;1,3,AJ34+1),IF(AND(X33=3,X34=3,Y33&lt;&gt;0,Y34&lt;&gt;0),2,IF(OR(X34=5,X34=4),3,IF(X34=6,4,X34))))</f>
        <v>3</v>
      </c>
      <c r="P34" s="118" t="str">
        <f>VLOOKUP(3,A$32:B$35,2,FALSE)</f>
        <v>Ecuador</v>
      </c>
      <c r="Q34" s="118">
        <f>SUMIF(B$4:B$60,P34,F$4:F$60)</f>
        <v>3</v>
      </c>
      <c r="R34" s="118">
        <f>SUMIF(B$4:B$60,P34,H$4:H$60)</f>
        <v>100</v>
      </c>
      <c r="S34" s="117">
        <f>SUMIF($B$4:$B$60,$P34,I$4:I$60)</f>
        <v>4</v>
      </c>
      <c r="T34" s="118">
        <f>SUMIF($B$4:$B$60,$P34,A$4:A$60)</f>
        <v>3</v>
      </c>
      <c r="U34" s="118">
        <f t="shared" si="10"/>
        <v>0</v>
      </c>
      <c r="V34" s="118">
        <f t="shared" si="10"/>
        <v>0</v>
      </c>
      <c r="W34" s="118">
        <f>SUMIF($B$4:$B$60,$P34,J$4:J$60)</f>
        <v>21</v>
      </c>
      <c r="X34" s="118">
        <f>IF(Y34=0,T34,T34+AG34+AH34+AI34)</f>
        <v>3</v>
      </c>
      <c r="Y34" s="118">
        <f>IF(OR(AND(S33=S34,R33=R34,Q33=Q34),AND(S35=S34,S34=S33,R35=R34,R34=R33,Q35=Q34,Q34=Q33)),P34,0)</f>
        <v>0</v>
      </c>
      <c r="Z34" s="118">
        <f>SUMIF($AY$4:$AY$60,$Y34,$AX$4:$AX$60)+SUMIF($BB$4:$BB$60,$Y34,$AX$4:$AX$60)</f>
        <v>0</v>
      </c>
      <c r="AA34" s="118">
        <f>SUMIF($AZ$4:$AZ$60,$Y34,$AX$4:$AX$60)+SUMIF($BC$4:$BC$60,$Y34,$AX$4:$AX$60)</f>
        <v>0</v>
      </c>
      <c r="AB34" s="118">
        <f>SUMIF($BA$4:$BA$60,$Y34,$AX$4:$AX$60)+SUMIF($BD$4:$BD$60,$Y34,$AX$4:$AX$60)</f>
        <v>0</v>
      </c>
      <c r="AC34" s="118">
        <f>SUMIF(AY$4:AY$60,Y34,AS$4:AS$60)+SUMIF(BB$4:BB$60,Y34,AW$4:AW$60)+SUMIF(AZ$4:AZ$60,Y34,AS$4:AS$60)+SUMIF(BC$4:BC$60,Y34,AW$4:AW$60)</f>
        <v>0</v>
      </c>
      <c r="AD34" s="118">
        <f>SUMIF(BA$4:BA$60,Y34,AS$4:AS$60)+SUMIF(BD$4:BD$60,Y34,AW$4:AW$60)+SUMIF(AZ$4:AZ$60,Y34,AS$4:AS$60)+SUMIF(BC$4:BC$60,Y34,AW$4:AW$60)</f>
        <v>0</v>
      </c>
      <c r="AE34" s="118">
        <f>AC34-AD34+100</f>
        <v>100</v>
      </c>
      <c r="AF34" s="117" t="str">
        <f>IF(Y34&lt;&gt;0,Z34*3+AA34,"")</f>
        <v/>
      </c>
      <c r="AG34" s="118">
        <f>IF(Y34&lt;&gt;0,RANK(AF34,AF$32:AF$35)-1,5)</f>
        <v>5</v>
      </c>
      <c r="AH34" s="118">
        <f>IF(Y34&lt;&gt;0,SUMPRODUCT((AF$32:AF$35=AF34)*(AE$32:AE$35&gt;AE34)),5)</f>
        <v>5</v>
      </c>
      <c r="AI34" s="118">
        <f>IF(Y34&lt;&gt;0,SUMPRODUCT((AF$32:AF$35=AF34)*(AE$32:AE$35=AE34)*(AC$32:AC$35&gt;AC34)),5)</f>
        <v>5</v>
      </c>
      <c r="AJ34" s="118">
        <f>IF(Y34&lt;&gt;0,SUMPRODUCT(($AF32:$AF35=AF34)*($AE32:$AE35=AE34)*($AC32:$AC35=AC34)*($AK32:$AK35&lt;AK34)),5)</f>
        <v>5</v>
      </c>
      <c r="AK34" s="118">
        <f>IF(AL34=0,0,VLOOKUP(Y34,Tournament!AE$37:AF$40,2,FALSE))</f>
        <v>0</v>
      </c>
      <c r="AL34" s="118">
        <f>IF(Y34&lt;&gt;0,IF(OR(SUM(AG34:AI34)=SUM(AG33:AI33),SUM(AG34:AI34)=SUM(AG35:AI35)),1,0),0)</f>
        <v>0</v>
      </c>
      <c r="AM34" s="118">
        <f>IF(AN34&lt;&gt;0,AM33+1,AM33)</f>
        <v>0</v>
      </c>
      <c r="AN34" s="118">
        <f>IF(AL34=1,Y34,0)</f>
        <v>0</v>
      </c>
      <c r="AO34" s="118">
        <v>31</v>
      </c>
      <c r="AP34" s="118" t="str">
        <f>IF(AND(Tournament!J44&lt;&gt;"",Tournament!L44&lt;&gt;""),IF(Tournament!J44&gt;Tournament!L44,Tournament!H44,""),"")</f>
        <v>Belgium</v>
      </c>
      <c r="AQ34" s="118" t="str">
        <f>IF(AND(Tournament!J44&lt;&gt;"",Tournament!L44&lt;&gt;""),IF(Tournament!J44=Tournament!L44,Tournament!H44,""),"")</f>
        <v/>
      </c>
      <c r="AR34" s="118" t="str">
        <f>IF(AND(Tournament!J44&lt;&gt;"",Tournament!L44&lt;&gt;""),IF(Tournament!J44&gt;Tournament!L44,Tournament!N44,""),"")</f>
        <v>Oroszország</v>
      </c>
      <c r="AS34" s="118">
        <f>IF(AND(Tournament!J44&lt;&gt;"",Tournament!L44&lt;&gt;""),Tournament!J44,0)</f>
        <v>1</v>
      </c>
      <c r="AT34" s="118" t="str">
        <f>IF(AND(Tournament!J44&lt;&gt;"",Tournament!L44&lt;&gt;""),IF(Tournament!J44&lt;Tournament!L44,Tournament!N44,""),"")</f>
        <v/>
      </c>
      <c r="AU34" s="118" t="str">
        <f>IF(AND(Tournament!J44&lt;&gt;"",Tournament!L44&lt;&gt;""),IF(Tournament!J44=Tournament!L44,Tournament!N44,""),"")</f>
        <v/>
      </c>
      <c r="AV34" s="118" t="str">
        <f>IF(AND(Tournament!J44&lt;&gt;"",Tournament!L44&lt;&gt;""),IF(Tournament!J44&lt;Tournament!L44,Tournament!H44,""),"")</f>
        <v/>
      </c>
      <c r="AW34" s="118">
        <f>IF(AND(Tournament!J44&lt;&gt;"",Tournament!L44&lt;&gt;""),Tournament!L44,0)</f>
        <v>0</v>
      </c>
      <c r="AX34" s="118">
        <v>1</v>
      </c>
      <c r="AY34" s="118" t="str">
        <f t="shared" si="1"/>
        <v/>
      </c>
      <c r="AZ34" s="118" t="str">
        <f t="shared" si="2"/>
        <v/>
      </c>
      <c r="BA34" s="118" t="str">
        <f t="shared" si="3"/>
        <v/>
      </c>
      <c r="BB34" s="118" t="str">
        <f t="shared" si="4"/>
        <v/>
      </c>
      <c r="BC34" s="118" t="str">
        <f t="shared" si="5"/>
        <v/>
      </c>
      <c r="BD34" s="118" t="str">
        <f t="shared" si="6"/>
        <v/>
      </c>
      <c r="BE34" s="118">
        <v>32</v>
      </c>
      <c r="BF34" s="118" t="str">
        <f>Tournament!H45</f>
        <v>Dél-Kórea</v>
      </c>
      <c r="BG34" s="118">
        <f>IF(AND(Tournament!J45&lt;&gt;"",Tournament!L45&lt;&gt;""),Tournament!J45,"")</f>
        <v>2</v>
      </c>
      <c r="BH34" s="118">
        <f>IF(AND(Tournament!L45&lt;&gt;"",Tournament!J45&lt;&gt;""),Tournament!L45,"")</f>
        <v>4</v>
      </c>
      <c r="BI34" s="118" t="str">
        <f>Tournament!N45</f>
        <v>Algéria</v>
      </c>
    </row>
    <row r="35" spans="1:61">
      <c r="A35" s="118">
        <f>K35+L35+M35+N35</f>
        <v>4</v>
      </c>
      <c r="B35" s="118" t="str">
        <f>Tournament!N23</f>
        <v>Hondurasz</v>
      </c>
      <c r="C35" s="118">
        <f>SUMIF(AP$4:AP$60,B35,AX$4:AX$60)+SUMIF(AT$4:AT$60,B35,AX$4:AX$60)</f>
        <v>0</v>
      </c>
      <c r="D35" s="118">
        <f>SUMIF(AQ$4:AQ$60,B35,AX$4:AX$60)+SUMIF(AU$4:AU$60,B35,AX$4:AX$60)</f>
        <v>0</v>
      </c>
      <c r="E35" s="118">
        <f>SUMIF(AR$4:AR$60,B35,AX$4:AX$60)+SUMIF(AV$4:AV$60,B35,AX$4:AX$60)</f>
        <v>3</v>
      </c>
      <c r="F35" s="118">
        <f>SUMIF($BF$3:$BF$60,B35,$BG$3:$BG$60)+SUMIF($BI$3:$BI$60,B35,$BH$3:$BH$60)</f>
        <v>1</v>
      </c>
      <c r="G35" s="118">
        <f>SUMIF($BI$3:$BI$60,B35,$BG$3:$BG$60)+SUMIF($BF$3:$BF$60,B35,$BH$3:$BH$60)</f>
        <v>8</v>
      </c>
      <c r="H35" s="118">
        <f>F35-G35+100</f>
        <v>93</v>
      </c>
      <c r="I35" s="117">
        <f>C35*3+D35</f>
        <v>0</v>
      </c>
      <c r="J35" s="118">
        <v>27</v>
      </c>
      <c r="K35" s="118">
        <f>RANK(I35,I$32:I$35)</f>
        <v>4</v>
      </c>
      <c r="L35" s="118">
        <f>SUMPRODUCT((I$32:I$35=I35)*(H$32:H$35&gt;H35))</f>
        <v>0</v>
      </c>
      <c r="M35" s="118">
        <f>SUMPRODUCT((I$32:I$35=I35)*(H$32:H$35=H35)*(F$32:F$35&gt;F35))</f>
        <v>0</v>
      </c>
      <c r="N35" s="118">
        <f>SUMPRODUCT((I$32:I$35=I35)*(H$32:H$35=H35)*(F$32:F$35=F35)*(J$32:J$35&lt;J35))</f>
        <v>0</v>
      </c>
      <c r="O35" s="118">
        <f>IF(SUM(AG32:AI35)=0,IF(COUNTIF(AJ32:AJ35,0)&gt;1,4,AJ35+1),IF(X35=X34,IF(X35=3,4,X35),IF(X35=5,3,IF(X35=6,4,X35))))</f>
        <v>4</v>
      </c>
      <c r="P35" s="118" t="str">
        <f>VLOOKUP(4,A$32:B$35,2,FALSE)</f>
        <v>Hondurasz</v>
      </c>
      <c r="Q35" s="118">
        <f>SUMIF(B$4:B$60,P35,F$4:F$60)</f>
        <v>1</v>
      </c>
      <c r="R35" s="118">
        <f>SUMIF(B$4:B$60,P35,H$4:H$60)</f>
        <v>93</v>
      </c>
      <c r="S35" s="117">
        <f>SUMIF($B$4:$B$60,$P35,I$4:I$60)</f>
        <v>0</v>
      </c>
      <c r="T35" s="118">
        <f>SUMIF($B$4:$B$60,$P35,A$4:A$60)</f>
        <v>4</v>
      </c>
      <c r="U35" s="118">
        <f t="shared" si="10"/>
        <v>0</v>
      </c>
      <c r="V35" s="118">
        <f t="shared" si="10"/>
        <v>0</v>
      </c>
      <c r="W35" s="118">
        <f>SUMIF($B$4:$B$60,$P35,J$4:J$60)</f>
        <v>27</v>
      </c>
      <c r="X35" s="118">
        <f>IF(Y35=0,T35,T35+AG35+AH35+AI35)</f>
        <v>4</v>
      </c>
      <c r="Y35" s="118">
        <f>IF(AND(S34=S35,S34=S33,R34=R35,R34=R33,Q34=Q35,Q34=Q33),P35,0)</f>
        <v>0</v>
      </c>
      <c r="Z35" s="118">
        <f>SUMIF($AY$4:$AY$60,$Y35,$AX$4:$AX$60)+SUMIF($BB$4:$BB$60,$Y35,$AX$4:$AX$60)</f>
        <v>0</v>
      </c>
      <c r="AA35" s="118">
        <f>SUMIF($AZ$4:$AZ$60,$Y35,$AX$4:$AX$60)+SUMIF($BC$4:$BC$60,$Y35,$AX$4:$AX$60)</f>
        <v>0</v>
      </c>
      <c r="AB35" s="118">
        <f>SUMIF($BA$4:$BA$60,$Y35,$AX$4:$AX$60)+SUMIF($BD$4:$BD$60,$Y35,$AX$4:$AX$60)</f>
        <v>0</v>
      </c>
      <c r="AC35" s="118">
        <f>SUMIF(AY$4:AY$60,Y35,AS$4:AS$60)+SUMIF(BB$4:BB$60,Y35,AW$4:AW$60)+SUMIF(AZ$4:AZ$60,Y35,AS$4:AS$60)+SUMIF(BC$4:BC$60,Y35,AW$4:AW$60)</f>
        <v>0</v>
      </c>
      <c r="AD35" s="118">
        <f>SUMIF(BA$4:BA$60,Y35,AS$4:AS$60)+SUMIF(BD$4:BD$60,Y35,AW$4:AW$60)+SUMIF(AZ$4:AZ$60,Y35,AS$4:AS$60)+SUMIF(BC$4:BC$60,Y35,AW$4:AW$60)</f>
        <v>0</v>
      </c>
      <c r="AE35" s="118">
        <f>AC35-AD35+100</f>
        <v>100</v>
      </c>
      <c r="AF35" s="117" t="str">
        <f>IF(Y35&lt;&gt;0,Z35*3+AA35,"")</f>
        <v/>
      </c>
      <c r="AG35" s="118">
        <f>IF(Y35&lt;&gt;0,RANK(AF35,AF$32:AF$35)-1,5)</f>
        <v>5</v>
      </c>
      <c r="AH35" s="118">
        <f>IF(Y35&lt;&gt;0,SUMPRODUCT((AF$32:AF$35=AF35)*(AE$32:AE$35&gt;AE35)),5)</f>
        <v>5</v>
      </c>
      <c r="AI35" s="118">
        <f>IF(Y35&lt;&gt;0,SUMPRODUCT((AF$32:AF$35=AF35)*(AE$32:AE$35=AE35)*(AC$32:AC$35&gt;AC35)),5)</f>
        <v>5</v>
      </c>
      <c r="AJ35" s="118">
        <f>IF(Y35&lt;&gt;0,SUMPRODUCT(($AF32:$AF35=AF35)*($AE32:$AE35=AE35)*($AC32:$AC35=AC35)*($AK32:$AK35&lt;AK35)),5)</f>
        <v>5</v>
      </c>
      <c r="AK35" s="118">
        <f>IF(AL35=0,0,VLOOKUP(Y35,Tournament!AE$37:AF$40,2,FALSE))</f>
        <v>0</v>
      </c>
      <c r="AL35" s="118">
        <f>IF(Y35&lt;&gt;0,IF(SUM(AG35:AI35)=SUM(AG34:AI34),1,0),0)</f>
        <v>0</v>
      </c>
      <c r="AM35" s="118">
        <f>IF(AN35&lt;&gt;0,AM34+1,AM34)</f>
        <v>0</v>
      </c>
      <c r="AN35" s="118">
        <f>IF(AL35=1,Y35,0)</f>
        <v>0</v>
      </c>
      <c r="AO35" s="118">
        <v>32</v>
      </c>
      <c r="AP35" s="118" t="str">
        <f>IF(AND(Tournament!J45&lt;&gt;"",Tournament!L45&lt;&gt;""),IF(Tournament!J45&gt;Tournament!L45,Tournament!H45,""),"")</f>
        <v/>
      </c>
      <c r="AQ35" s="118" t="str">
        <f>IF(AND(Tournament!J45&lt;&gt;"",Tournament!L45&lt;&gt;""),IF(Tournament!J45=Tournament!L45,Tournament!H45,""),"")</f>
        <v/>
      </c>
      <c r="AR35" s="118" t="str">
        <f>IF(AND(Tournament!J45&lt;&gt;"",Tournament!L45&lt;&gt;""),IF(Tournament!J45&gt;Tournament!L45,Tournament!N45,""),"")</f>
        <v/>
      </c>
      <c r="AS35" s="118">
        <f>IF(AND(Tournament!J45&lt;&gt;"",Tournament!L45&lt;&gt;""),Tournament!J45,0)</f>
        <v>2</v>
      </c>
      <c r="AT35" s="118" t="str">
        <f>IF(AND(Tournament!J45&lt;&gt;"",Tournament!L45&lt;&gt;""),IF(Tournament!J45&lt;Tournament!L45,Tournament!N45,""),"")</f>
        <v>Algéria</v>
      </c>
      <c r="AU35" s="118" t="str">
        <f>IF(AND(Tournament!J45&lt;&gt;"",Tournament!L45&lt;&gt;""),IF(Tournament!J45=Tournament!L45,Tournament!N45,""),"")</f>
        <v/>
      </c>
      <c r="AV35" s="118" t="str">
        <f>IF(AND(Tournament!J45&lt;&gt;"",Tournament!L45&lt;&gt;""),IF(Tournament!J45&lt;Tournament!L45,Tournament!H45,""),"")</f>
        <v>Dél-Kórea</v>
      </c>
      <c r="AW35" s="118">
        <f>IF(AND(Tournament!J45&lt;&gt;"",Tournament!L45&lt;&gt;""),Tournament!L45,0)</f>
        <v>4</v>
      </c>
      <c r="AX35" s="118">
        <v>1</v>
      </c>
      <c r="AY35" s="118" t="str">
        <f t="shared" si="1"/>
        <v/>
      </c>
      <c r="AZ35" s="118" t="str">
        <f t="shared" si="2"/>
        <v/>
      </c>
      <c r="BA35" s="118" t="str">
        <f t="shared" si="3"/>
        <v/>
      </c>
      <c r="BB35" s="118" t="str">
        <f t="shared" si="4"/>
        <v/>
      </c>
      <c r="BC35" s="118" t="str">
        <f t="shared" si="5"/>
        <v/>
      </c>
      <c r="BD35" s="118" t="str">
        <f t="shared" si="6"/>
        <v/>
      </c>
      <c r="BE35" s="118">
        <v>33</v>
      </c>
      <c r="BF35" s="118" t="str">
        <f>Tournament!H46</f>
        <v>Kamerun</v>
      </c>
      <c r="BG35" s="118">
        <f>IF(AND(Tournament!J46&lt;&gt;"",Tournament!L46&lt;&gt;""),Tournament!J46,"")</f>
        <v>1</v>
      </c>
      <c r="BH35" s="118">
        <f>IF(AND(Tournament!L46&lt;&gt;"",Tournament!J46&lt;&gt;""),Tournament!L46,"")</f>
        <v>4</v>
      </c>
      <c r="BI35" s="118" t="str">
        <f>Tournament!N46</f>
        <v>Brazília</v>
      </c>
    </row>
    <row r="36" spans="1:61">
      <c r="AO36" s="118">
        <v>33</v>
      </c>
      <c r="AP36" s="118" t="str">
        <f>IF(AND(Tournament!J46&lt;&gt;"",Tournament!L46&lt;&gt;""),IF(Tournament!J46&gt;Tournament!L46,Tournament!H46,""),"")</f>
        <v/>
      </c>
      <c r="AQ36" s="118" t="str">
        <f>IF(AND(Tournament!J46&lt;&gt;"",Tournament!L46&lt;&gt;""),IF(Tournament!J46=Tournament!L46,Tournament!H46,""),"")</f>
        <v/>
      </c>
      <c r="AR36" s="118" t="str">
        <f>IF(AND(Tournament!J46&lt;&gt;"",Tournament!L46&lt;&gt;""),IF(Tournament!J46&gt;Tournament!L46,Tournament!N46,""),"")</f>
        <v/>
      </c>
      <c r="AS36" s="118">
        <f>IF(AND(Tournament!J46&lt;&gt;"",Tournament!L46&lt;&gt;""),Tournament!J46,0)</f>
        <v>1</v>
      </c>
      <c r="AT36" s="118" t="str">
        <f>IF(AND(Tournament!J46&lt;&gt;"",Tournament!L46&lt;&gt;""),IF(Tournament!J46&lt;Tournament!L46,Tournament!N46,""),"")</f>
        <v>Brazília</v>
      </c>
      <c r="AU36" s="118" t="str">
        <f>IF(AND(Tournament!J46&lt;&gt;"",Tournament!L46&lt;&gt;""),IF(Tournament!J46=Tournament!L46,Tournament!N46,""),"")</f>
        <v/>
      </c>
      <c r="AV36" s="118" t="str">
        <f>IF(AND(Tournament!J46&lt;&gt;"",Tournament!L46&lt;&gt;""),IF(Tournament!J46&lt;Tournament!L46,Tournament!H46,""),"")</f>
        <v>Kamerun</v>
      </c>
      <c r="AW36" s="118">
        <f>IF(AND(Tournament!J46&lt;&gt;"",Tournament!L46&lt;&gt;""),Tournament!L46,0)</f>
        <v>4</v>
      </c>
      <c r="AX36" s="118">
        <v>1</v>
      </c>
      <c r="AY36" s="118" t="str">
        <f t="shared" si="1"/>
        <v/>
      </c>
      <c r="AZ36" s="118" t="str">
        <f t="shared" si="2"/>
        <v/>
      </c>
      <c r="BA36" s="118" t="str">
        <f t="shared" si="3"/>
        <v/>
      </c>
      <c r="BB36" s="118" t="str">
        <f t="shared" si="4"/>
        <v/>
      </c>
      <c r="BC36" s="118" t="str">
        <f t="shared" si="5"/>
        <v/>
      </c>
      <c r="BD36" s="118" t="str">
        <f t="shared" si="6"/>
        <v/>
      </c>
      <c r="BE36" s="118">
        <v>34</v>
      </c>
      <c r="BF36" s="118" t="str">
        <f>Tournament!H47</f>
        <v>Horvátország</v>
      </c>
      <c r="BG36" s="118">
        <f>IF(AND(Tournament!J47&lt;&gt;"",Tournament!L47&lt;&gt;""),Tournament!J47,"")</f>
        <v>1</v>
      </c>
      <c r="BH36" s="118">
        <f>IF(AND(Tournament!L47&lt;&gt;"",Tournament!J47&lt;&gt;""),Tournament!L47,"")</f>
        <v>3</v>
      </c>
      <c r="BI36" s="118" t="str">
        <f>Tournament!N47</f>
        <v>Mexikó</v>
      </c>
    </row>
    <row r="37" spans="1:61">
      <c r="I37" s="117"/>
      <c r="S37" s="117"/>
      <c r="AF37" s="117"/>
      <c r="AO37" s="118">
        <v>34</v>
      </c>
      <c r="AP37" s="118" t="str">
        <f>IF(AND(Tournament!J47&lt;&gt;"",Tournament!L47&lt;&gt;""),IF(Tournament!J47&gt;Tournament!L47,Tournament!H47,""),"")</f>
        <v/>
      </c>
      <c r="AQ37" s="118" t="str">
        <f>IF(AND(Tournament!J47&lt;&gt;"",Tournament!L47&lt;&gt;""),IF(Tournament!J47=Tournament!L47,Tournament!H47,""),"")</f>
        <v/>
      </c>
      <c r="AR37" s="118" t="str">
        <f>IF(AND(Tournament!J47&lt;&gt;"",Tournament!L47&lt;&gt;""),IF(Tournament!J47&gt;Tournament!L47,Tournament!N47,""),"")</f>
        <v/>
      </c>
      <c r="AS37" s="118">
        <f>IF(AND(Tournament!J47&lt;&gt;"",Tournament!L47&lt;&gt;""),Tournament!J47,0)</f>
        <v>1</v>
      </c>
      <c r="AT37" s="118" t="str">
        <f>IF(AND(Tournament!J47&lt;&gt;"",Tournament!L47&lt;&gt;""),IF(Tournament!J47&lt;Tournament!L47,Tournament!N47,""),"")</f>
        <v>Mexikó</v>
      </c>
      <c r="AU37" s="118" t="str">
        <f>IF(AND(Tournament!J47&lt;&gt;"",Tournament!L47&lt;&gt;""),IF(Tournament!J47=Tournament!L47,Tournament!N47,""),"")</f>
        <v/>
      </c>
      <c r="AV37" s="118" t="str">
        <f>IF(AND(Tournament!J47&lt;&gt;"",Tournament!L47&lt;&gt;""),IF(Tournament!J47&lt;Tournament!L47,Tournament!H47,""),"")</f>
        <v>Horvátország</v>
      </c>
      <c r="AW37" s="118">
        <f>IF(AND(Tournament!J47&lt;&gt;"",Tournament!L47&lt;&gt;""),Tournament!L47,0)</f>
        <v>3</v>
      </c>
      <c r="AX37" s="118">
        <v>1</v>
      </c>
      <c r="AY37" s="118" t="str">
        <f t="shared" si="1"/>
        <v/>
      </c>
      <c r="AZ37" s="118" t="str">
        <f t="shared" si="2"/>
        <v/>
      </c>
      <c r="BA37" s="118" t="str">
        <f t="shared" si="3"/>
        <v/>
      </c>
      <c r="BB37" s="118" t="str">
        <f t="shared" si="4"/>
        <v/>
      </c>
      <c r="BC37" s="118" t="str">
        <f t="shared" si="5"/>
        <v/>
      </c>
      <c r="BD37" s="118" t="str">
        <f t="shared" si="6"/>
        <v/>
      </c>
      <c r="BE37" s="118">
        <v>35</v>
      </c>
      <c r="BF37" s="118" t="str">
        <f>Tournament!H48</f>
        <v>Ausztrália</v>
      </c>
      <c r="BG37" s="118">
        <f>IF(AND(Tournament!J48&lt;&gt;"",Tournament!L48&lt;&gt;""),Tournament!J48,"")</f>
        <v>0</v>
      </c>
      <c r="BH37" s="118">
        <f>IF(AND(Tournament!L48&lt;&gt;"",Tournament!J48&lt;&gt;""),Tournament!L48,"")</f>
        <v>3</v>
      </c>
      <c r="BI37" s="118" t="str">
        <f>Tournament!N48</f>
        <v>Spanyolország</v>
      </c>
    </row>
    <row r="38" spans="1:61">
      <c r="I38" s="117"/>
      <c r="S38" s="117"/>
      <c r="AF38" s="117"/>
      <c r="AO38" s="118">
        <v>35</v>
      </c>
      <c r="AP38" s="118" t="str">
        <f>IF(AND(Tournament!J48&lt;&gt;"",Tournament!L48&lt;&gt;""),IF(Tournament!J48&gt;Tournament!L48,Tournament!H48,""),"")</f>
        <v/>
      </c>
      <c r="AQ38" s="118" t="str">
        <f>IF(AND(Tournament!J48&lt;&gt;"",Tournament!L48&lt;&gt;""),IF(Tournament!J48=Tournament!L48,Tournament!H48,""),"")</f>
        <v/>
      </c>
      <c r="AR38" s="118" t="str">
        <f>IF(AND(Tournament!J48&lt;&gt;"",Tournament!L48&lt;&gt;""),IF(Tournament!J48&gt;Tournament!L48,Tournament!N48,""),"")</f>
        <v/>
      </c>
      <c r="AS38" s="118">
        <f>IF(AND(Tournament!J48&lt;&gt;"",Tournament!L48&lt;&gt;""),Tournament!J48,0)</f>
        <v>0</v>
      </c>
      <c r="AT38" s="118" t="str">
        <f>IF(AND(Tournament!J48&lt;&gt;"",Tournament!L48&lt;&gt;""),IF(Tournament!J48&lt;Tournament!L48,Tournament!N48,""),"")</f>
        <v>Spanyolország</v>
      </c>
      <c r="AU38" s="118" t="str">
        <f>IF(AND(Tournament!J48&lt;&gt;"",Tournament!L48&lt;&gt;""),IF(Tournament!J48=Tournament!L48,Tournament!N48,""),"")</f>
        <v/>
      </c>
      <c r="AV38" s="118" t="str">
        <f>IF(AND(Tournament!J48&lt;&gt;"",Tournament!L48&lt;&gt;""),IF(Tournament!J48&lt;Tournament!L48,Tournament!H48,""),"")</f>
        <v>Ausztrália</v>
      </c>
      <c r="AW38" s="118">
        <f>IF(AND(Tournament!J48&lt;&gt;"",Tournament!L48&lt;&gt;""),Tournament!L48,0)</f>
        <v>3</v>
      </c>
      <c r="AX38" s="118">
        <v>1</v>
      </c>
      <c r="AY38" s="118" t="str">
        <f t="shared" si="1"/>
        <v/>
      </c>
      <c r="AZ38" s="118" t="str">
        <f t="shared" si="2"/>
        <v/>
      </c>
      <c r="BA38" s="118" t="str">
        <f t="shared" si="3"/>
        <v/>
      </c>
      <c r="BB38" s="118" t="str">
        <f t="shared" si="4"/>
        <v/>
      </c>
      <c r="BC38" s="118" t="str">
        <f t="shared" si="5"/>
        <v/>
      </c>
      <c r="BD38" s="118" t="str">
        <f t="shared" si="6"/>
        <v/>
      </c>
      <c r="BE38" s="118">
        <v>36</v>
      </c>
      <c r="BF38" s="118" t="str">
        <f>Tournament!H49</f>
        <v>Hollandia</v>
      </c>
      <c r="BG38" s="118">
        <f>IF(AND(Tournament!J49&lt;&gt;"",Tournament!L49&lt;&gt;""),Tournament!J49,"")</f>
        <v>2</v>
      </c>
      <c r="BH38" s="118">
        <f>IF(AND(Tournament!L49&lt;&gt;"",Tournament!J49&lt;&gt;""),Tournament!L49,"")</f>
        <v>0</v>
      </c>
      <c r="BI38" s="118" t="str">
        <f>Tournament!N49</f>
        <v>Chile</v>
      </c>
    </row>
    <row r="39" spans="1:61">
      <c r="A39" s="118">
        <f>K39+L39+M39+N39</f>
        <v>1</v>
      </c>
      <c r="B39" s="118" t="str">
        <f>Tournament!H24</f>
        <v>Argentína</v>
      </c>
      <c r="C39" s="118">
        <f>SUMIF(AP$4:AP$60,B39,AX$4:AX$60)+SUMIF(AT$4:AT$60,B39,AX$4:AX$60)</f>
        <v>3</v>
      </c>
      <c r="D39" s="118">
        <f>SUMIF(AQ$4:AQ$60,B39,AX$4:AX$60)+SUMIF(AU$4:AU$60,B39,AX$4:AX$60)</f>
        <v>0</v>
      </c>
      <c r="E39" s="118">
        <f>SUMIF(AR$4:AR$60,B39,AX$4:AX$60)+SUMIF(AV$4:AV$60,B39,AX$4:AX$60)</f>
        <v>0</v>
      </c>
      <c r="F39" s="118">
        <f>SUMIF($BF$3:$BF$60,B39,$BG$3:$BG$60)+SUMIF($BI$3:$BI$60,B39,$BH$3:$BH$60)</f>
        <v>6</v>
      </c>
      <c r="G39" s="118">
        <f>SUMIF($BI$3:$BI$60,B39,$BG$3:$BG$60)+SUMIF($BF$3:$BF$60,B39,$BH$3:$BH$60)</f>
        <v>3</v>
      </c>
      <c r="H39" s="118">
        <f>F39-G39+100</f>
        <v>103</v>
      </c>
      <c r="I39" s="117">
        <f>C39*3+D39</f>
        <v>9</v>
      </c>
      <c r="J39" s="118">
        <v>3</v>
      </c>
      <c r="K39" s="118">
        <f>RANK(I39,I$39:I$42)</f>
        <v>1</v>
      </c>
      <c r="L39" s="118">
        <f>SUMPRODUCT((I$39:I$42=I39)*(H$39:H$42&gt;H39))</f>
        <v>0</v>
      </c>
      <c r="M39" s="118">
        <f>SUMPRODUCT((I$39:I$42=I39)*(H$39:H$42=H39)*(F$39:F$42&gt;F39))</f>
        <v>0</v>
      </c>
      <c r="N39" s="118">
        <f>SUMPRODUCT((I$39:I$42=I39)*(H$39:H$42=H39)*(F$39:F$42=F39)*(J$39:J$42&lt;J39))</f>
        <v>0</v>
      </c>
      <c r="O39" s="118">
        <f>IF(SUM(AG39:AI42)=0,IF(COUNTIF(AJ39:AJ42,0)&gt;1,1,AJ39+1),X39)</f>
        <v>1</v>
      </c>
      <c r="P39" s="118" t="str">
        <f>VLOOKUP(1,A$39:B$42,2,FALSE)</f>
        <v>Argentína</v>
      </c>
      <c r="Q39" s="118">
        <f>SUMIF(B$4:B$60,P39,F$4:F$60)</f>
        <v>6</v>
      </c>
      <c r="R39" s="118">
        <f>SUMIF(B$4:B$60,P39,H$4:H$60)</f>
        <v>103</v>
      </c>
      <c r="S39" s="117">
        <f>SUMIF($B$4:$B$60,$P39,I$4:I$60)</f>
        <v>9</v>
      </c>
      <c r="T39" s="118">
        <f>SUMIF($B$4:$B$60,$P39,A$4:A$60)</f>
        <v>1</v>
      </c>
      <c r="U39" s="118">
        <f t="shared" ref="U39:V42" si="11">SUMIF($B$4:$B$60,$P39,L$4:L$60)</f>
        <v>0</v>
      </c>
      <c r="V39" s="118">
        <f t="shared" si="11"/>
        <v>0</v>
      </c>
      <c r="W39" s="118">
        <f>SUMIF($B$4:$B$60,$P39,J$4:J$60)</f>
        <v>3</v>
      </c>
      <c r="X39" s="118">
        <f>IF(Y39=0,T39,T39+AG39+AH39+AI39)</f>
        <v>1</v>
      </c>
      <c r="Y39" s="118">
        <f>IF(AND(S39=S40,R39=R40,Q39=Q40),P39,0)</f>
        <v>0</v>
      </c>
      <c r="Z39" s="118">
        <f>SUMIF($AY$4:$AY$60,$Y39,$AX$4:$AX$60)+SUMIF($BB$4:$BB$60,$Y39,$AX$4:$AX$60)</f>
        <v>0</v>
      </c>
      <c r="AA39" s="118">
        <f>SUMIF($AZ$4:$AZ$60,$Y39,$AX$4:$AX$60)+SUMIF($BC$4:$BC$60,$Y39,$AX$4:$AX$60)</f>
        <v>0</v>
      </c>
      <c r="AB39" s="118">
        <f>SUMIF($BA$4:$BA$60,$Y39,$AX$4:$AX$60)+SUMIF($BD$4:$BD$60,$Y39,$AX$4:$AX$60)</f>
        <v>0</v>
      </c>
      <c r="AC39" s="118">
        <f>SUMIF(AY$4:AY$60,Y39,AS$4:AS$60)+SUMIF(BB$4:BB$60,Y39,AW$4:AW$60)+SUMIF(AZ$4:AZ$60,Y39,AS$4:AS$60)+SUMIF(BC$4:BC$60,Y39,AW$4:AW$60)</f>
        <v>0</v>
      </c>
      <c r="AD39" s="118">
        <f>SUMIF(BA$4:BA$60,Y39,AS$4:AS$60)+SUMIF(BD$4:BD$60,Y39,AW$4:AW$60)+SUMIF(AZ$4:AZ$60,Y39,AS$4:AS$60)+SUMIF(BC$4:BC$60,Y39,AW$4:AW$60)</f>
        <v>0</v>
      </c>
      <c r="AE39" s="118">
        <f>AC39-AD39+100</f>
        <v>100</v>
      </c>
      <c r="AF39" s="117" t="str">
        <f>IF(Y39&lt;&gt;0,Z39*3+AA39,"")</f>
        <v/>
      </c>
      <c r="AG39" s="118">
        <f>IF(Y39&lt;&gt;0,RANK(AF39,AF$39:AF$42)-1,5)</f>
        <v>5</v>
      </c>
      <c r="AH39" s="118">
        <f>IF(Y39&lt;&gt;0,SUMPRODUCT((AF$39:AF$42=AF39)*(AE$39:AE$42&gt;AE39)),5)</f>
        <v>5</v>
      </c>
      <c r="AI39" s="118">
        <f>IF(Y39&lt;&gt;0,SUMPRODUCT((AF$39:AF$42=AF39)*(AE$39:AE$42=AE39)*(AC$39:AC$42&gt;AC39)),5)</f>
        <v>5</v>
      </c>
      <c r="AJ39" s="118">
        <f>IF(Y39&lt;&gt;0,SUMPRODUCT(($AF39:$AF42=AF39)*($AE39:$AE42=AE39)*($AC39:$AC42=AC39)*($AK39:$AK42&lt;AK39)),5)</f>
        <v>5</v>
      </c>
      <c r="AK39" s="118">
        <f>IF(AL39=0,0,VLOOKUP(Y39,Tournament!AE$43:AF$46,2,FALSE))</f>
        <v>0</v>
      </c>
      <c r="AL39" s="118">
        <f>IF(Y39&lt;&gt;0,IF(SUM(AG39:AI39)=SUM(AG40:AI40),1,0),0)</f>
        <v>0</v>
      </c>
      <c r="AM39" s="118">
        <f>IF(AN39&lt;&gt;0,1,0)</f>
        <v>0</v>
      </c>
      <c r="AN39" s="118">
        <f>IF(AL39=1,Y39,0)</f>
        <v>0</v>
      </c>
      <c r="AO39" s="118">
        <v>36</v>
      </c>
      <c r="AP39" s="118" t="str">
        <f>IF(AND(Tournament!J49&lt;&gt;"",Tournament!L49&lt;&gt;""),IF(Tournament!J49&gt;Tournament!L49,Tournament!H49,""),"")</f>
        <v>Hollandia</v>
      </c>
      <c r="AQ39" s="118" t="str">
        <f>IF(AND(Tournament!J49&lt;&gt;"",Tournament!L49&lt;&gt;""),IF(Tournament!J49=Tournament!L49,Tournament!H49,""),"")</f>
        <v/>
      </c>
      <c r="AR39" s="118" t="str">
        <f>IF(AND(Tournament!J49&lt;&gt;"",Tournament!L49&lt;&gt;""),IF(Tournament!J49&gt;Tournament!L49,Tournament!N49,""),"")</f>
        <v>Chile</v>
      </c>
      <c r="AS39" s="118">
        <f>IF(AND(Tournament!J49&lt;&gt;"",Tournament!L49&lt;&gt;""),Tournament!J49,0)</f>
        <v>2</v>
      </c>
      <c r="AT39" s="118" t="str">
        <f>IF(AND(Tournament!J49&lt;&gt;"",Tournament!L49&lt;&gt;""),IF(Tournament!J49&lt;Tournament!L49,Tournament!N49,""),"")</f>
        <v/>
      </c>
      <c r="AU39" s="118" t="str">
        <f>IF(AND(Tournament!J49&lt;&gt;"",Tournament!L49&lt;&gt;""),IF(Tournament!J49=Tournament!L49,Tournament!N49,""),"")</f>
        <v/>
      </c>
      <c r="AV39" s="118" t="str">
        <f>IF(AND(Tournament!J49&lt;&gt;"",Tournament!L49&lt;&gt;""),IF(Tournament!J49&lt;Tournament!L49,Tournament!H49,""),"")</f>
        <v/>
      </c>
      <c r="AW39" s="118">
        <f>IF(AND(Tournament!J49&lt;&gt;"",Tournament!L49&lt;&gt;""),Tournament!L49,0)</f>
        <v>0</v>
      </c>
      <c r="AX39" s="118">
        <v>1</v>
      </c>
      <c r="AY39" s="118" t="str">
        <f t="shared" si="1"/>
        <v/>
      </c>
      <c r="AZ39" s="118" t="str">
        <f t="shared" si="2"/>
        <v/>
      </c>
      <c r="BA39" s="118" t="str">
        <f t="shared" si="3"/>
        <v/>
      </c>
      <c r="BB39" s="118" t="str">
        <f t="shared" si="4"/>
        <v/>
      </c>
      <c r="BC39" s="118" t="str">
        <f t="shared" si="5"/>
        <v/>
      </c>
      <c r="BD39" s="118" t="str">
        <f t="shared" si="6"/>
        <v/>
      </c>
      <c r="BE39" s="118">
        <v>37</v>
      </c>
      <c r="BF39" s="118" t="str">
        <f>Tournament!H50</f>
        <v>Japán</v>
      </c>
      <c r="BG39" s="118">
        <f>IF(AND(Tournament!J50&lt;&gt;"",Tournament!L50&lt;&gt;""),Tournament!J50,"")</f>
        <v>1</v>
      </c>
      <c r="BH39" s="118">
        <f>IF(AND(Tournament!L50&lt;&gt;"",Tournament!J50&lt;&gt;""),Tournament!L50,"")</f>
        <v>4</v>
      </c>
      <c r="BI39" s="118" t="str">
        <f>Tournament!N50</f>
        <v>Colombia</v>
      </c>
    </row>
    <row r="40" spans="1:61">
      <c r="A40" s="118">
        <f>K40+L40+M40+N40</f>
        <v>3</v>
      </c>
      <c r="B40" s="118" t="str">
        <f>Tournament!N24</f>
        <v>Bosznia-Hercegovina</v>
      </c>
      <c r="C40" s="118">
        <f>SUMIF(AP$4:AP$60,B40,AX$4:AX$60)+SUMIF(AT$4:AT$60,B40,AX$4:AX$60)</f>
        <v>1</v>
      </c>
      <c r="D40" s="118">
        <f>SUMIF(AQ$4:AQ$60,B40,AX$4:AX$60)+SUMIF(AU$4:AU$60,B40,AX$4:AX$60)</f>
        <v>0</v>
      </c>
      <c r="E40" s="118">
        <f>SUMIF(AR$4:AR$60,B40,AX$4:AX$60)+SUMIF(AV$4:AV$60,B40,AX$4:AX$60)</f>
        <v>2</v>
      </c>
      <c r="F40" s="118">
        <f>SUMIF($BF$3:$BF$60,B40,$BG$3:$BG$60)+SUMIF($BI$3:$BI$60,B40,$BH$3:$BH$60)</f>
        <v>4</v>
      </c>
      <c r="G40" s="118">
        <f>SUMIF($BI$3:$BI$60,B40,$BG$3:$BG$60)+SUMIF($BF$3:$BF$60,B40,$BH$3:$BH$60)</f>
        <v>4</v>
      </c>
      <c r="H40" s="118">
        <f>F40-G40+100</f>
        <v>100</v>
      </c>
      <c r="I40" s="117">
        <f>C40*3+D40</f>
        <v>3</v>
      </c>
      <c r="J40" s="118">
        <v>16</v>
      </c>
      <c r="K40" s="118">
        <f>RANK(I40,I$39:I$42)</f>
        <v>3</v>
      </c>
      <c r="L40" s="118">
        <f>SUMPRODUCT((I$39:I$42=I40)*(H$39:H$42&gt;H40))</f>
        <v>0</v>
      </c>
      <c r="M40" s="118">
        <f>SUMPRODUCT((I$39:I$42=I40)*(H$39:H$42=H40)*(F$39:F$42&gt;F40))</f>
        <v>0</v>
      </c>
      <c r="N40" s="118">
        <f>SUMPRODUCT((I$39:I$42=I40)*(H$39:H$42=H40)*(F$39:F$42=F40)*(J$39:J$42&lt;J40))</f>
        <v>0</v>
      </c>
      <c r="O40" s="118">
        <f>IF(SUM(AG39:AI42)=0,IF(COUNTIF(AJ39:AJ42,0)&gt;1,2,AJ40+1),IF(AND(X39=1,X40=3,Y39&lt;&gt;0,Y40&lt;&gt;0,Y41=0,Y42=0),2,IF(AND(X39=2,X40=2,Y39&lt;&gt;0,Y40&lt;&gt;0,Y41=0,Y42=0),1,X40)))</f>
        <v>2</v>
      </c>
      <c r="P40" s="118" t="str">
        <f>VLOOKUP(2,A$39:B$42,2,FALSE)</f>
        <v>Nigéria</v>
      </c>
      <c r="Q40" s="118">
        <f>SUMIF(B$4:B$60,P40,F$4:F$60)</f>
        <v>3</v>
      </c>
      <c r="R40" s="118">
        <f>SUMIF(B$4:B$60,P40,H$4:H$60)</f>
        <v>100</v>
      </c>
      <c r="S40" s="117">
        <f>SUMIF($B$4:$B$60,$P40,I$4:I$60)</f>
        <v>4</v>
      </c>
      <c r="T40" s="118">
        <f>SUMIF($B$4:$B$60,$P40,A$4:A$60)</f>
        <v>2</v>
      </c>
      <c r="U40" s="118">
        <f t="shared" si="11"/>
        <v>0</v>
      </c>
      <c r="V40" s="118">
        <f t="shared" si="11"/>
        <v>0</v>
      </c>
      <c r="W40" s="118">
        <f>SUMIF($B$4:$B$60,$P40,J$4:J$60)</f>
        <v>26</v>
      </c>
      <c r="X40" s="118">
        <f>IF(Y40=0,T40,T40+AG40+AH40+AI40)</f>
        <v>2</v>
      </c>
      <c r="Y40" s="118">
        <f>IF(OR(AND(S39=S40,R39=R40,Q39=Q40),AND(S41=S40,R41=R40,Q41=Q40)),P40,0)</f>
        <v>0</v>
      </c>
      <c r="Z40" s="118">
        <f>SUMIF($AY$4:$AY$60,$Y40,$AX$4:$AX$60)+SUMIF($BB$4:$BB$60,$Y40,$AX$4:$AX$60)</f>
        <v>0</v>
      </c>
      <c r="AA40" s="118">
        <f>SUMIF($AZ$4:$AZ$60,$Y40,$AX$4:$AX$60)+SUMIF($BC$4:$BC$60,$Y40,$AX$4:$AX$60)</f>
        <v>0</v>
      </c>
      <c r="AB40" s="118">
        <f>SUMIF($BA$4:$BA$60,$Y40,$AX$4:$AX$60)+SUMIF($BD$4:$BD$60,$Y40,$AX$4:$AX$60)</f>
        <v>0</v>
      </c>
      <c r="AC40" s="118">
        <f>SUMIF(AY$4:AY$60,Y40,AS$4:AS$60)+SUMIF(BB$4:BB$60,Y40,AW$4:AW$60)+SUMIF(AZ$4:AZ$60,Y40,AS$4:AS$60)+SUMIF(BC$4:BC$60,Y40,AW$4:AW$60)</f>
        <v>0</v>
      </c>
      <c r="AD40" s="118">
        <f>SUMIF(BA$4:BA$60,Y40,AS$4:AS$60)+SUMIF(BD$4:BD$60,Y40,AW$4:AW$60)+SUMIF(AZ$4:AZ$60,Y40,AS$4:AS$60)+SUMIF(BC$4:BC$60,Y40,AW$4:AW$60)</f>
        <v>0</v>
      </c>
      <c r="AE40" s="118">
        <f>AC40-AD40+100</f>
        <v>100</v>
      </c>
      <c r="AF40" s="117" t="str">
        <f>IF(Y40&lt;&gt;0,Z40*3+AA40,"")</f>
        <v/>
      </c>
      <c r="AG40" s="118">
        <f>IF(Y40&lt;&gt;0,RANK(AF40,AF$39:AF$42)-1,5)</f>
        <v>5</v>
      </c>
      <c r="AH40" s="118">
        <f>IF(Y40&lt;&gt;0,SUMPRODUCT((AF$39:AF$42=AF40)*(AE$39:AE$42&gt;AE40)),5)</f>
        <v>5</v>
      </c>
      <c r="AI40" s="118">
        <f>IF(Y40&lt;&gt;0,SUMPRODUCT((AF$39:AF$42=AF40)*(AE$39:AE$42=AE40)*(AC$39:AC$42&gt;AC40)),5)</f>
        <v>5</v>
      </c>
      <c r="AJ40" s="118">
        <f>IF(Y40&lt;&gt;0,SUMPRODUCT(($AF39:$AF42=AF40)*($AE39:$AE42=AE40)*($AC39:$AC42=AC40)*($AK39:$AK42&lt;AK40)),5)</f>
        <v>5</v>
      </c>
      <c r="AK40" s="118">
        <f>IF(AL40=0,0,VLOOKUP(Y40,Tournament!AE$43:AF$46,2,FALSE))</f>
        <v>0</v>
      </c>
      <c r="AL40" s="118">
        <f>IF(Y40&lt;&gt;0,IF(OR(SUM(AG40:AI40)=SUM(AG39:AI39),SUM(AG40:AI40)=SUM(AG41:AI41)),1,0),0)</f>
        <v>0</v>
      </c>
      <c r="AM40" s="118">
        <f>IF(AN40&lt;&gt;0,AM39+1,AM39)</f>
        <v>0</v>
      </c>
      <c r="AN40" s="118">
        <f>IF(AL40=1,Y40,0)</f>
        <v>0</v>
      </c>
      <c r="AO40" s="118">
        <v>37</v>
      </c>
      <c r="AP40" s="118" t="str">
        <f>IF(AND(Tournament!J50&lt;&gt;"",Tournament!L50&lt;&gt;""),IF(Tournament!J50&gt;Tournament!L50,Tournament!H50,""),"")</f>
        <v/>
      </c>
      <c r="AQ40" s="118" t="str">
        <f>IF(AND(Tournament!J50&lt;&gt;"",Tournament!L50&lt;&gt;""),IF(Tournament!J50=Tournament!L50,Tournament!H50,""),"")</f>
        <v/>
      </c>
      <c r="AR40" s="118" t="str">
        <f>IF(AND(Tournament!J50&lt;&gt;"",Tournament!L50&lt;&gt;""),IF(Tournament!J50&gt;Tournament!L50,Tournament!N50,""),"")</f>
        <v/>
      </c>
      <c r="AS40" s="118">
        <f>IF(AND(Tournament!J50&lt;&gt;"",Tournament!L50&lt;&gt;""),Tournament!J50,0)</f>
        <v>1</v>
      </c>
      <c r="AT40" s="118" t="str">
        <f>IF(AND(Tournament!J50&lt;&gt;"",Tournament!L50&lt;&gt;""),IF(Tournament!J50&lt;Tournament!L50,Tournament!N50,""),"")</f>
        <v>Colombia</v>
      </c>
      <c r="AU40" s="118" t="str">
        <f>IF(AND(Tournament!J50&lt;&gt;"",Tournament!L50&lt;&gt;""),IF(Tournament!J50=Tournament!L50,Tournament!N50,""),"")</f>
        <v/>
      </c>
      <c r="AV40" s="118" t="str">
        <f>IF(AND(Tournament!J50&lt;&gt;"",Tournament!L50&lt;&gt;""),IF(Tournament!J50&lt;Tournament!L50,Tournament!H50,""),"")</f>
        <v>Japán</v>
      </c>
      <c r="AW40" s="118">
        <f>IF(AND(Tournament!J50&lt;&gt;"",Tournament!L50&lt;&gt;""),Tournament!L50,0)</f>
        <v>4</v>
      </c>
      <c r="AX40" s="118">
        <v>1</v>
      </c>
      <c r="AY40" s="118" t="str">
        <f t="shared" si="1"/>
        <v/>
      </c>
      <c r="AZ40" s="118" t="str">
        <f t="shared" si="2"/>
        <v/>
      </c>
      <c r="BA40" s="118" t="str">
        <f t="shared" si="3"/>
        <v/>
      </c>
      <c r="BB40" s="118" t="str">
        <f t="shared" si="4"/>
        <v/>
      </c>
      <c r="BC40" s="118" t="str">
        <f t="shared" si="5"/>
        <v/>
      </c>
      <c r="BD40" s="118" t="str">
        <f t="shared" si="6"/>
        <v/>
      </c>
      <c r="BE40" s="118">
        <v>38</v>
      </c>
      <c r="BF40" s="118" t="str">
        <f>Tournament!H51</f>
        <v>Görögország</v>
      </c>
      <c r="BG40" s="118">
        <f>IF(AND(Tournament!J51&lt;&gt;"",Tournament!L51&lt;&gt;""),Tournament!J51,"")</f>
        <v>2</v>
      </c>
      <c r="BH40" s="118">
        <f>IF(AND(Tournament!L51&lt;&gt;"",Tournament!J51&lt;&gt;""),Tournament!L51,"")</f>
        <v>1</v>
      </c>
      <c r="BI40" s="118" t="str">
        <f>Tournament!N51</f>
        <v>Elefántcsontpart</v>
      </c>
    </row>
    <row r="41" spans="1:61">
      <c r="A41" s="118">
        <f>K41+L41+M41+N41</f>
        <v>4</v>
      </c>
      <c r="B41" s="118" t="str">
        <f>Tournament!H25</f>
        <v>Irán</v>
      </c>
      <c r="C41" s="118">
        <f>SUMIF(AP$4:AP$60,B41,AX$4:AX$60)+SUMIF(AT$4:AT$60,B41,AX$4:AX$60)</f>
        <v>0</v>
      </c>
      <c r="D41" s="118">
        <f>SUMIF(AQ$4:AQ$60,B41,AX$4:AX$60)+SUMIF(AU$4:AU$60,B41,AX$4:AX$60)</f>
        <v>1</v>
      </c>
      <c r="E41" s="118">
        <f>SUMIF(AR$4:AR$60,B41,AX$4:AX$60)+SUMIF(AV$4:AV$60,B41,AX$4:AX$60)</f>
        <v>2</v>
      </c>
      <c r="F41" s="118">
        <f>SUMIF($BF$3:$BF$60,B41,$BG$3:$BG$60)+SUMIF($BI$3:$BI$60,B41,$BH$3:$BH$60)</f>
        <v>1</v>
      </c>
      <c r="G41" s="118">
        <f>SUMIF($BI$3:$BI$60,B41,$BG$3:$BG$60)+SUMIF($BF$3:$BF$60,B41,$BH$3:$BH$60)</f>
        <v>4</v>
      </c>
      <c r="H41" s="118">
        <f>F41-G41+100</f>
        <v>97</v>
      </c>
      <c r="I41" s="117">
        <f>C41*3+D41</f>
        <v>1</v>
      </c>
      <c r="J41" s="118">
        <v>29</v>
      </c>
      <c r="K41" s="118">
        <f>RANK(I41,I$39:I$42)</f>
        <v>4</v>
      </c>
      <c r="L41" s="118">
        <f>SUMPRODUCT((I$39:I$42=I41)*(H$39:H$42&gt;H41))</f>
        <v>0</v>
      </c>
      <c r="M41" s="118">
        <f>SUMPRODUCT((I$39:I$42=I41)*(H$39:H$42=H41)*(F$39:F$42&gt;F41))</f>
        <v>0</v>
      </c>
      <c r="N41" s="118">
        <f>SUMPRODUCT((I$39:I$42=I41)*(H$39:H$42=H41)*(F$39:F$42=F41)*(J$39:J$42&lt;J41))</f>
        <v>0</v>
      </c>
      <c r="O41" s="118">
        <f>IF(SUM(AG39:AI42)=0,IF(COUNTIF(AJ39:AJ42,0)&gt;1,3,AJ41+1),IF(AND(X40=3,X41=3,Y40&lt;&gt;0,Y41&lt;&gt;0),2,IF(OR(X41=5,X41=4),3,IF(X41=6,4,X41))))</f>
        <v>3</v>
      </c>
      <c r="P41" s="118" t="str">
        <f>VLOOKUP(3,A$39:B$42,2,FALSE)</f>
        <v>Bosznia-Hercegovina</v>
      </c>
      <c r="Q41" s="118">
        <f>SUMIF(B$4:B$60,P41,F$4:F$60)</f>
        <v>4</v>
      </c>
      <c r="R41" s="118">
        <f>SUMIF(B$4:B$60,P41,H$4:H$60)</f>
        <v>100</v>
      </c>
      <c r="S41" s="117">
        <f>SUMIF($B$4:$B$60,$P41,I$4:I$60)</f>
        <v>3</v>
      </c>
      <c r="T41" s="118">
        <f>SUMIF($B$4:$B$60,$P41,A$4:A$60)</f>
        <v>3</v>
      </c>
      <c r="U41" s="118">
        <f t="shared" si="11"/>
        <v>0</v>
      </c>
      <c r="V41" s="118">
        <f t="shared" si="11"/>
        <v>0</v>
      </c>
      <c r="W41" s="118">
        <f>SUMIF($B$4:$B$60,$P41,J$4:J$60)</f>
        <v>16</v>
      </c>
      <c r="X41" s="118">
        <f>IF(Y41=0,T41,T41+AG41+AH41+AI41)</f>
        <v>3</v>
      </c>
      <c r="Y41" s="118">
        <f>IF(OR(AND(S40=S41,R40=R41,Q40=Q41),AND(S42=S41,S41=S40,R42=R41,R41=R40,Q42=Q41,Q41=Q40)),P41,0)</f>
        <v>0</v>
      </c>
      <c r="Z41" s="118">
        <f>SUMIF($AY$4:$AY$60,$Y41,$AX$4:$AX$60)+SUMIF($BB$4:$BB$60,$Y41,$AX$4:$AX$60)</f>
        <v>0</v>
      </c>
      <c r="AA41" s="118">
        <f>SUMIF($AZ$4:$AZ$60,$Y41,$AX$4:$AX$60)+SUMIF($BC$4:$BC$60,$Y41,$AX$4:$AX$60)</f>
        <v>0</v>
      </c>
      <c r="AB41" s="118">
        <f>SUMIF($BA$4:$BA$60,$Y41,$AX$4:$AX$60)+SUMIF($BD$4:$BD$60,$Y41,$AX$4:$AX$60)</f>
        <v>0</v>
      </c>
      <c r="AC41" s="118">
        <f>SUMIF(AY$4:AY$60,Y41,AS$4:AS$60)+SUMIF(BB$4:BB$60,Y41,AW$4:AW$60)+SUMIF(AZ$4:AZ$60,Y41,AS$4:AS$60)+SUMIF(BC$4:BC$60,Y41,AW$4:AW$60)</f>
        <v>0</v>
      </c>
      <c r="AD41" s="118">
        <f>SUMIF(BA$4:BA$60,Y41,AS$4:AS$60)+SUMIF(BD$4:BD$60,Y41,AW$4:AW$60)+SUMIF(AZ$4:AZ$60,Y41,AS$4:AS$60)+SUMIF(BC$4:BC$60,Y41,AW$4:AW$60)</f>
        <v>0</v>
      </c>
      <c r="AE41" s="118">
        <f>AC41-AD41+100</f>
        <v>100</v>
      </c>
      <c r="AF41" s="117" t="str">
        <f>IF(Y41&lt;&gt;0,Z41*3+AA41,"")</f>
        <v/>
      </c>
      <c r="AG41" s="118">
        <f>IF(Y41&lt;&gt;0,RANK(AF41,AF$39:AF$42)-1,5)</f>
        <v>5</v>
      </c>
      <c r="AH41" s="118">
        <f>IF(Y41&lt;&gt;0,SUMPRODUCT((AF$39:AF$42=AF41)*(AE$39:AE$42&gt;AE41)),5)</f>
        <v>5</v>
      </c>
      <c r="AI41" s="118">
        <f>IF(Y41&lt;&gt;0,SUMPRODUCT((AF$39:AF$42=AF41)*(AE$39:AE$42=AE41)*(AC$39:AC$42&gt;AC41)),5)</f>
        <v>5</v>
      </c>
      <c r="AJ41" s="118">
        <f>IF(Y41&lt;&gt;0,SUMPRODUCT(($AF39:$AF42=AF41)*($AE39:$AE42=AE41)*($AC39:$AC42=AC41)*($AK39:$AK42&lt;AK41)),5)</f>
        <v>5</v>
      </c>
      <c r="AK41" s="118">
        <f>IF(AL41=0,0,VLOOKUP(Y41,Tournament!AE$43:AF$46,2,FALSE))</f>
        <v>0</v>
      </c>
      <c r="AL41" s="118">
        <f>IF(Y41&lt;&gt;0,IF(OR(SUM(AG41:AI41)=SUM(AG40:AI40),SUM(AG41:AI41)=SUM(AG42:AI42)),1,0),0)</f>
        <v>0</v>
      </c>
      <c r="AM41" s="118">
        <f>IF(AN41&lt;&gt;0,AM40+1,AM40)</f>
        <v>0</v>
      </c>
      <c r="AN41" s="118">
        <f>IF(AL41=1,Y41,0)</f>
        <v>0</v>
      </c>
      <c r="AO41" s="118">
        <v>38</v>
      </c>
      <c r="AP41" s="118" t="str">
        <f>IF(AND(Tournament!J51&lt;&gt;"",Tournament!L51&lt;&gt;""),IF(Tournament!J51&gt;Tournament!L51,Tournament!H51,""),"")</f>
        <v>Görögország</v>
      </c>
      <c r="AQ41" s="118" t="str">
        <f>IF(AND(Tournament!J51&lt;&gt;"",Tournament!L51&lt;&gt;""),IF(Tournament!J51=Tournament!L51,Tournament!H51,""),"")</f>
        <v/>
      </c>
      <c r="AR41" s="118" t="str">
        <f>IF(AND(Tournament!J51&lt;&gt;"",Tournament!L51&lt;&gt;""),IF(Tournament!J51&gt;Tournament!L51,Tournament!N51,""),"")</f>
        <v>Elefántcsontpart</v>
      </c>
      <c r="AS41" s="118">
        <f>IF(AND(Tournament!J51&lt;&gt;"",Tournament!L51&lt;&gt;""),Tournament!J51,0)</f>
        <v>2</v>
      </c>
      <c r="AT41" s="118" t="str">
        <f>IF(AND(Tournament!J51&lt;&gt;"",Tournament!L51&lt;&gt;""),IF(Tournament!J51&lt;Tournament!L51,Tournament!N51,""),"")</f>
        <v/>
      </c>
      <c r="AU41" s="118" t="str">
        <f>IF(AND(Tournament!J51&lt;&gt;"",Tournament!L51&lt;&gt;""),IF(Tournament!J51=Tournament!L51,Tournament!N51,""),"")</f>
        <v/>
      </c>
      <c r="AV41" s="118" t="str">
        <f>IF(AND(Tournament!J51&lt;&gt;"",Tournament!L51&lt;&gt;""),IF(Tournament!J51&lt;Tournament!L51,Tournament!H51,""),"")</f>
        <v/>
      </c>
      <c r="AW41" s="118">
        <f>IF(AND(Tournament!J51&lt;&gt;"",Tournament!L51&lt;&gt;""),Tournament!L51,0)</f>
        <v>1</v>
      </c>
      <c r="AX41" s="118">
        <v>1</v>
      </c>
      <c r="AY41" s="118" t="str">
        <f t="shared" si="1"/>
        <v/>
      </c>
      <c r="AZ41" s="118" t="str">
        <f t="shared" si="2"/>
        <v/>
      </c>
      <c r="BA41" s="118" t="str">
        <f t="shared" si="3"/>
        <v/>
      </c>
      <c r="BB41" s="118" t="str">
        <f t="shared" si="4"/>
        <v/>
      </c>
      <c r="BC41" s="118" t="str">
        <f t="shared" si="5"/>
        <v/>
      </c>
      <c r="BD41" s="118" t="str">
        <f t="shared" si="6"/>
        <v/>
      </c>
      <c r="BE41" s="118">
        <v>39</v>
      </c>
      <c r="BF41" s="118" t="str">
        <f>Tournament!H52</f>
        <v>Olaszország</v>
      </c>
      <c r="BG41" s="118">
        <f>IF(AND(Tournament!J52&lt;&gt;"",Tournament!L52&lt;&gt;""),Tournament!J52,"")</f>
        <v>0</v>
      </c>
      <c r="BH41" s="118">
        <f>IF(AND(Tournament!L52&lt;&gt;"",Tournament!J52&lt;&gt;""),Tournament!L52,"")</f>
        <v>1</v>
      </c>
      <c r="BI41" s="118" t="str">
        <f>Tournament!N52</f>
        <v>Uruguaj</v>
      </c>
    </row>
    <row r="42" spans="1:61">
      <c r="A42" s="118">
        <f>K42+L42+M42+N42</f>
        <v>2</v>
      </c>
      <c r="B42" s="118" t="str">
        <f>Tournament!N25</f>
        <v>Nigéria</v>
      </c>
      <c r="C42" s="118">
        <f>SUMIF(AP$4:AP$60,B42,AX$4:AX$60)+SUMIF(AT$4:AT$60,B42,AX$4:AX$60)</f>
        <v>1</v>
      </c>
      <c r="D42" s="118">
        <f>SUMIF(AQ$4:AQ$60,B42,AX$4:AX$60)+SUMIF(AU$4:AU$60,B42,AX$4:AX$60)</f>
        <v>1</v>
      </c>
      <c r="E42" s="118">
        <f>SUMIF(AR$4:AR$60,B42,AX$4:AX$60)+SUMIF(AV$4:AV$60,B42,AX$4:AX$60)</f>
        <v>1</v>
      </c>
      <c r="F42" s="118">
        <f>SUMIF($BF$3:$BF$60,B42,$BG$3:$BG$60)+SUMIF($BI$3:$BI$60,B42,$BH$3:$BH$60)</f>
        <v>3</v>
      </c>
      <c r="G42" s="118">
        <f>SUMIF($BI$3:$BI$60,B42,$BG$3:$BG$60)+SUMIF($BF$3:$BF$60,B42,$BH$3:$BH$60)</f>
        <v>3</v>
      </c>
      <c r="H42" s="118">
        <f>F42-G42+100</f>
        <v>100</v>
      </c>
      <c r="I42" s="117">
        <f>C42*3+D42</f>
        <v>4</v>
      </c>
      <c r="J42" s="118">
        <v>26</v>
      </c>
      <c r="K42" s="118">
        <f>RANK(I42,I$39:I$42)</f>
        <v>2</v>
      </c>
      <c r="L42" s="118">
        <f>SUMPRODUCT((I$39:I$42=I42)*(H$39:H$42&gt;H42))</f>
        <v>0</v>
      </c>
      <c r="M42" s="118">
        <f>SUMPRODUCT((I$39:I$42=I42)*(H$39:H$42=H42)*(F$39:F$42&gt;F42))</f>
        <v>0</v>
      </c>
      <c r="N42" s="118">
        <f>SUMPRODUCT((I$39:I$42=I42)*(H$39:H$42=H42)*(F$39:F$42=F42)*(J$39:J$42&lt;J42))</f>
        <v>0</v>
      </c>
      <c r="O42" s="118">
        <f>IF(SUM(AG39:AI42)=0,IF(COUNTIF(AJ39:AJ42,0)&gt;1,4,AJ42+1),IF(X42=X41,IF(X42=3,4,X42),IF(X42=5,3,IF(X42=6,4,X42))))</f>
        <v>4</v>
      </c>
      <c r="P42" s="118" t="str">
        <f>VLOOKUP(4,A$39:B$42,2,FALSE)</f>
        <v>Irán</v>
      </c>
      <c r="Q42" s="118">
        <f>SUMIF(B$4:B$60,P42,F$4:F$60)</f>
        <v>1</v>
      </c>
      <c r="R42" s="118">
        <f>SUMIF(B$4:B$60,P42,H$4:H$60)</f>
        <v>97</v>
      </c>
      <c r="S42" s="117">
        <f>SUMIF($B$4:$B$60,$P42,I$4:I$60)</f>
        <v>1</v>
      </c>
      <c r="T42" s="118">
        <f>SUMIF($B$4:$B$60,$P42,A$4:A$60)</f>
        <v>4</v>
      </c>
      <c r="U42" s="118">
        <f t="shared" si="11"/>
        <v>0</v>
      </c>
      <c r="V42" s="118">
        <f t="shared" si="11"/>
        <v>0</v>
      </c>
      <c r="W42" s="118">
        <f>SUMIF($B$4:$B$60,$P42,J$4:J$60)</f>
        <v>29</v>
      </c>
      <c r="X42" s="118">
        <f>IF(Y42=0,T42,T42+AG42+AH42+AI42)</f>
        <v>4</v>
      </c>
      <c r="Y42" s="118">
        <f>IF(AND(S41=S42,S41=S40,R41=R42,R41=R40,Q41=Q42,Q41=Q40),P42,0)</f>
        <v>0</v>
      </c>
      <c r="Z42" s="118">
        <f>SUMIF($AY$4:$AY$60,$Y42,$AX$4:$AX$60)+SUMIF($BB$4:$BB$60,$Y42,$AX$4:$AX$60)</f>
        <v>0</v>
      </c>
      <c r="AA42" s="118">
        <f>SUMIF($AZ$4:$AZ$60,$Y42,$AX$4:$AX$60)+SUMIF($BC$4:$BC$60,$Y42,$AX$4:$AX$60)</f>
        <v>0</v>
      </c>
      <c r="AB42" s="118">
        <f>SUMIF($BA$4:$BA$60,$Y42,$AX$4:$AX$60)+SUMIF($BD$4:$BD$60,$Y42,$AX$4:$AX$60)</f>
        <v>0</v>
      </c>
      <c r="AC42" s="118">
        <f>SUMIF(AY$4:AY$60,Y42,AS$4:AS$60)+SUMIF(BB$4:BB$60,Y42,AW$4:AW$60)+SUMIF(AZ$4:AZ$60,Y42,AS$4:AS$60)+SUMIF(BC$4:BC$60,Y42,AW$4:AW$60)</f>
        <v>0</v>
      </c>
      <c r="AD42" s="118">
        <f>SUMIF(BA$4:BA$60,Y42,AS$4:AS$60)+SUMIF(BD$4:BD$60,Y42,AW$4:AW$60)+SUMIF(AZ$4:AZ$60,Y42,AS$4:AS$60)+SUMIF(BC$4:BC$60,Y42,AW$4:AW$60)</f>
        <v>0</v>
      </c>
      <c r="AE42" s="118">
        <f>AC42-AD42+100</f>
        <v>100</v>
      </c>
      <c r="AF42" s="117" t="str">
        <f>IF(Y42&lt;&gt;0,Z42*3+AA42,"")</f>
        <v/>
      </c>
      <c r="AG42" s="118">
        <f>IF(Y42&lt;&gt;0,RANK(AF42,AF$39:AF$42)-1,5)</f>
        <v>5</v>
      </c>
      <c r="AH42" s="118">
        <f>IF(Y42&lt;&gt;0,SUMPRODUCT((AF$39:AF$42=AF42)*(AE$39:AE$42&gt;AE42)),5)</f>
        <v>5</v>
      </c>
      <c r="AI42" s="118">
        <f>IF(Y42&lt;&gt;0,SUMPRODUCT((AF$39:AF$42=AF42)*(AE$39:AE$42=AE42)*(AC$39:AC$42&gt;AC42)),5)</f>
        <v>5</v>
      </c>
      <c r="AJ42" s="118">
        <f>IF(Y42&lt;&gt;0,SUMPRODUCT(($AF39:$AF42=AF42)*($AE39:$AE42=AE42)*($AC39:$AC42=AC42)*($AK39:$AK42&lt;AK42)),5)</f>
        <v>5</v>
      </c>
      <c r="AK42" s="118">
        <f>IF(AL42=0,0,VLOOKUP(Y42,Tournament!AE$43:AF$46,2,FALSE))</f>
        <v>0</v>
      </c>
      <c r="AL42" s="118">
        <f>IF(Y42&lt;&gt;0,IF(SUM(AG42:AI42)=SUM(AG41:AI41),1,0),0)</f>
        <v>0</v>
      </c>
      <c r="AM42" s="118">
        <f>IF(AN42&lt;&gt;0,AM41+1,AM41)</f>
        <v>0</v>
      </c>
      <c r="AN42" s="118">
        <f>IF(AL42=1,Y42,0)</f>
        <v>0</v>
      </c>
      <c r="AO42" s="118">
        <v>39</v>
      </c>
      <c r="AP42" s="118" t="str">
        <f>IF(AND(Tournament!J52&lt;&gt;"",Tournament!L52&lt;&gt;""),IF(Tournament!J52&gt;Tournament!L52,Tournament!H52,""),"")</f>
        <v/>
      </c>
      <c r="AQ42" s="118" t="str">
        <f>IF(AND(Tournament!J52&lt;&gt;"",Tournament!L52&lt;&gt;""),IF(Tournament!J52=Tournament!L52,Tournament!H52,""),"")</f>
        <v/>
      </c>
      <c r="AR42" s="118" t="str">
        <f>IF(AND(Tournament!J52&lt;&gt;"",Tournament!L52&lt;&gt;""),IF(Tournament!J52&gt;Tournament!L52,Tournament!N52,""),"")</f>
        <v/>
      </c>
      <c r="AS42" s="118">
        <f>IF(AND(Tournament!J52&lt;&gt;"",Tournament!L52&lt;&gt;""),Tournament!J52,0)</f>
        <v>0</v>
      </c>
      <c r="AT42" s="118" t="str">
        <f>IF(AND(Tournament!J52&lt;&gt;"",Tournament!L52&lt;&gt;""),IF(Tournament!J52&lt;Tournament!L52,Tournament!N52,""),"")</f>
        <v>Uruguaj</v>
      </c>
      <c r="AU42" s="118" t="str">
        <f>IF(AND(Tournament!J52&lt;&gt;"",Tournament!L52&lt;&gt;""),IF(Tournament!J52=Tournament!L52,Tournament!N52,""),"")</f>
        <v/>
      </c>
      <c r="AV42" s="118" t="str">
        <f>IF(AND(Tournament!J52&lt;&gt;"",Tournament!L52&lt;&gt;""),IF(Tournament!J52&lt;Tournament!L52,Tournament!H52,""),"")</f>
        <v>Olaszország</v>
      </c>
      <c r="AW42" s="118">
        <f>IF(AND(Tournament!J52&lt;&gt;"",Tournament!L52&lt;&gt;""),Tournament!L52,0)</f>
        <v>1</v>
      </c>
      <c r="AX42" s="118">
        <v>1</v>
      </c>
      <c r="AY42" s="118" t="str">
        <f t="shared" si="1"/>
        <v/>
      </c>
      <c r="AZ42" s="118" t="str">
        <f t="shared" si="2"/>
        <v/>
      </c>
      <c r="BA42" s="118" t="str">
        <f t="shared" si="3"/>
        <v/>
      </c>
      <c r="BB42" s="118" t="str">
        <f t="shared" si="4"/>
        <v/>
      </c>
      <c r="BC42" s="118" t="str">
        <f t="shared" si="5"/>
        <v/>
      </c>
      <c r="BD42" s="118" t="str">
        <f t="shared" si="6"/>
        <v/>
      </c>
      <c r="BE42" s="118">
        <v>40</v>
      </c>
      <c r="BF42" s="118" t="str">
        <f>Tournament!H53</f>
        <v>Costa Rica</v>
      </c>
      <c r="BG42" s="118">
        <f>IF(AND(Tournament!J53&lt;&gt;"",Tournament!L53&lt;&gt;""),Tournament!J53,"")</f>
        <v>0</v>
      </c>
      <c r="BH42" s="118">
        <f>IF(AND(Tournament!L53&lt;&gt;"",Tournament!J53&lt;&gt;""),Tournament!L53,"")</f>
        <v>0</v>
      </c>
      <c r="BI42" s="118" t="str">
        <f>Tournament!N53</f>
        <v>Anglia</v>
      </c>
    </row>
    <row r="43" spans="1:61">
      <c r="AO43" s="118">
        <v>40</v>
      </c>
      <c r="AP43" s="118" t="str">
        <f>IF(AND(Tournament!J53&lt;&gt;"",Tournament!L53&lt;&gt;""),IF(Tournament!J53&gt;Tournament!L53,Tournament!H53,""),"")</f>
        <v/>
      </c>
      <c r="AQ43" s="118" t="str">
        <f>IF(AND(Tournament!J53&lt;&gt;"",Tournament!L53&lt;&gt;""),IF(Tournament!J53=Tournament!L53,Tournament!H53,""),"")</f>
        <v>Costa Rica</v>
      </c>
      <c r="AR43" s="118" t="str">
        <f>IF(AND(Tournament!J53&lt;&gt;"",Tournament!L53&lt;&gt;""),IF(Tournament!J53&gt;Tournament!L53,Tournament!N53,""),"")</f>
        <v/>
      </c>
      <c r="AS43" s="118">
        <f>IF(AND(Tournament!J53&lt;&gt;"",Tournament!L53&lt;&gt;""),Tournament!J53,0)</f>
        <v>0</v>
      </c>
      <c r="AT43" s="118" t="str">
        <f>IF(AND(Tournament!J53&lt;&gt;"",Tournament!L53&lt;&gt;""),IF(Tournament!J53&lt;Tournament!L53,Tournament!N53,""),"")</f>
        <v/>
      </c>
      <c r="AU43" s="118" t="str">
        <f>IF(AND(Tournament!J53&lt;&gt;"",Tournament!L53&lt;&gt;""),IF(Tournament!J53=Tournament!L53,Tournament!N53,""),"")</f>
        <v>Anglia</v>
      </c>
      <c r="AV43" s="118" t="str">
        <f>IF(AND(Tournament!J53&lt;&gt;"",Tournament!L53&lt;&gt;""),IF(Tournament!J53&lt;Tournament!L53,Tournament!H53,""),"")</f>
        <v/>
      </c>
      <c r="AW43" s="118">
        <f>IF(AND(Tournament!J53&lt;&gt;"",Tournament!L53&lt;&gt;""),Tournament!L53,0)</f>
        <v>0</v>
      </c>
      <c r="AX43" s="118">
        <v>1</v>
      </c>
      <c r="AY43" s="118" t="str">
        <f t="shared" si="1"/>
        <v/>
      </c>
      <c r="AZ43" s="118" t="str">
        <f t="shared" si="2"/>
        <v/>
      </c>
      <c r="BA43" s="118" t="str">
        <f t="shared" si="3"/>
        <v/>
      </c>
      <c r="BB43" s="118" t="str">
        <f t="shared" si="4"/>
        <v/>
      </c>
      <c r="BC43" s="118" t="str">
        <f t="shared" si="5"/>
        <v/>
      </c>
      <c r="BD43" s="118" t="str">
        <f t="shared" si="6"/>
        <v/>
      </c>
      <c r="BE43" s="118">
        <v>41</v>
      </c>
      <c r="BF43" s="118" t="str">
        <f>Tournament!H54</f>
        <v>Hondurasz</v>
      </c>
      <c r="BG43" s="118">
        <f>IF(AND(Tournament!J54&lt;&gt;"",Tournament!L54&lt;&gt;""),Tournament!J54,"")</f>
        <v>0</v>
      </c>
      <c r="BH43" s="118">
        <f>IF(AND(Tournament!L54&lt;&gt;"",Tournament!J54&lt;&gt;""),Tournament!L54,"")</f>
        <v>3</v>
      </c>
      <c r="BI43" s="118" t="str">
        <f>Tournament!N54</f>
        <v>Svájc</v>
      </c>
    </row>
    <row r="44" spans="1:61">
      <c r="I44" s="117"/>
      <c r="S44" s="117"/>
      <c r="AF44" s="117"/>
      <c r="AO44" s="118">
        <v>41</v>
      </c>
      <c r="AP44" s="118" t="str">
        <f>IF(AND(Tournament!J54&lt;&gt;"",Tournament!L54&lt;&gt;""),IF(Tournament!J54&gt;Tournament!L54,Tournament!H54,""),"")</f>
        <v/>
      </c>
      <c r="AQ44" s="118" t="str">
        <f>IF(AND(Tournament!J54&lt;&gt;"",Tournament!L54&lt;&gt;""),IF(Tournament!J54=Tournament!L54,Tournament!H54,""),"")</f>
        <v/>
      </c>
      <c r="AR44" s="118" t="str">
        <f>IF(AND(Tournament!J54&lt;&gt;"",Tournament!L54&lt;&gt;""),IF(Tournament!J54&gt;Tournament!L54,Tournament!N54,""),"")</f>
        <v/>
      </c>
      <c r="AS44" s="118">
        <f>IF(AND(Tournament!J54&lt;&gt;"",Tournament!L54&lt;&gt;""),Tournament!J54,0)</f>
        <v>0</v>
      </c>
      <c r="AT44" s="118" t="str">
        <f>IF(AND(Tournament!J54&lt;&gt;"",Tournament!L54&lt;&gt;""),IF(Tournament!J54&lt;Tournament!L54,Tournament!N54,""),"")</f>
        <v>Svájc</v>
      </c>
      <c r="AU44" s="118" t="str">
        <f>IF(AND(Tournament!J54&lt;&gt;"",Tournament!L54&lt;&gt;""),IF(Tournament!J54=Tournament!L54,Tournament!N54,""),"")</f>
        <v/>
      </c>
      <c r="AV44" s="118" t="str">
        <f>IF(AND(Tournament!J54&lt;&gt;"",Tournament!L54&lt;&gt;""),IF(Tournament!J54&lt;Tournament!L54,Tournament!H54,""),"")</f>
        <v>Hondurasz</v>
      </c>
      <c r="AW44" s="118">
        <f>IF(AND(Tournament!J54&lt;&gt;"",Tournament!L54&lt;&gt;""),Tournament!L54,0)</f>
        <v>3</v>
      </c>
      <c r="AX44" s="118">
        <v>1</v>
      </c>
      <c r="AY44" s="118" t="str">
        <f t="shared" si="1"/>
        <v/>
      </c>
      <c r="AZ44" s="118" t="str">
        <f t="shared" si="2"/>
        <v/>
      </c>
      <c r="BA44" s="118" t="str">
        <f t="shared" si="3"/>
        <v/>
      </c>
      <c r="BB44" s="118" t="str">
        <f t="shared" si="4"/>
        <v/>
      </c>
      <c r="BC44" s="118" t="str">
        <f t="shared" si="5"/>
        <v/>
      </c>
      <c r="BD44" s="118" t="str">
        <f t="shared" si="6"/>
        <v/>
      </c>
      <c r="BE44" s="118">
        <v>42</v>
      </c>
      <c r="BF44" s="118" t="str">
        <f>Tournament!H55</f>
        <v>Ecuador</v>
      </c>
      <c r="BG44" s="118">
        <f>IF(AND(Tournament!J55&lt;&gt;"",Tournament!L55&lt;&gt;""),Tournament!J55,"")</f>
        <v>0</v>
      </c>
      <c r="BH44" s="118">
        <f>IF(AND(Tournament!L55&lt;&gt;"",Tournament!J55&lt;&gt;""),Tournament!L55,"")</f>
        <v>0</v>
      </c>
      <c r="BI44" s="118" t="str">
        <f>Tournament!N55</f>
        <v>Franciaország</v>
      </c>
    </row>
    <row r="45" spans="1:61">
      <c r="I45" s="117"/>
      <c r="S45" s="117"/>
      <c r="AF45" s="117"/>
      <c r="AO45" s="118">
        <v>42</v>
      </c>
      <c r="AP45" s="118" t="str">
        <f>IF(AND(Tournament!J55&lt;&gt;"",Tournament!L55&lt;&gt;""),IF(Tournament!J55&gt;Tournament!L55,Tournament!H55,""),"")</f>
        <v/>
      </c>
      <c r="AQ45" s="118" t="str">
        <f>IF(AND(Tournament!J55&lt;&gt;"",Tournament!L55&lt;&gt;""),IF(Tournament!J55=Tournament!L55,Tournament!H55,""),"")</f>
        <v>Ecuador</v>
      </c>
      <c r="AR45" s="118" t="str">
        <f>IF(AND(Tournament!J55&lt;&gt;"",Tournament!L55&lt;&gt;""),IF(Tournament!J55&gt;Tournament!L55,Tournament!N55,""),"")</f>
        <v/>
      </c>
      <c r="AS45" s="118">
        <f>IF(AND(Tournament!J55&lt;&gt;"",Tournament!L55&lt;&gt;""),Tournament!J55,0)</f>
        <v>0</v>
      </c>
      <c r="AT45" s="118" t="str">
        <f>IF(AND(Tournament!J55&lt;&gt;"",Tournament!L55&lt;&gt;""),IF(Tournament!J55&lt;Tournament!L55,Tournament!N55,""),"")</f>
        <v/>
      </c>
      <c r="AU45" s="118" t="str">
        <f>IF(AND(Tournament!J55&lt;&gt;"",Tournament!L55&lt;&gt;""),IF(Tournament!J55=Tournament!L55,Tournament!N55,""),"")</f>
        <v>Franciaország</v>
      </c>
      <c r="AV45" s="118" t="str">
        <f>IF(AND(Tournament!J55&lt;&gt;"",Tournament!L55&lt;&gt;""),IF(Tournament!J55&lt;Tournament!L55,Tournament!H55,""),"")</f>
        <v/>
      </c>
      <c r="AW45" s="118">
        <f>IF(AND(Tournament!J55&lt;&gt;"",Tournament!L55&lt;&gt;""),Tournament!L55,0)</f>
        <v>0</v>
      </c>
      <c r="AX45" s="118">
        <v>1</v>
      </c>
      <c r="AY45" s="118" t="str">
        <f t="shared" si="1"/>
        <v/>
      </c>
      <c r="AZ45" s="118" t="str">
        <f t="shared" si="2"/>
        <v/>
      </c>
      <c r="BA45" s="118" t="str">
        <f t="shared" si="3"/>
        <v/>
      </c>
      <c r="BB45" s="118" t="str">
        <f t="shared" si="4"/>
        <v/>
      </c>
      <c r="BC45" s="118" t="str">
        <f t="shared" si="5"/>
        <v/>
      </c>
      <c r="BD45" s="118" t="str">
        <f t="shared" si="6"/>
        <v/>
      </c>
      <c r="BE45" s="118">
        <v>43</v>
      </c>
      <c r="BF45" s="118" t="str">
        <f>Tournament!H56</f>
        <v>Nigéria</v>
      </c>
      <c r="BG45" s="118">
        <f>IF(AND(Tournament!J56&lt;&gt;"",Tournament!L56&lt;&gt;""),Tournament!J56,"")</f>
        <v>2</v>
      </c>
      <c r="BH45" s="118">
        <f>IF(AND(Tournament!L56&lt;&gt;"",Tournament!J56&lt;&gt;""),Tournament!L56,"")</f>
        <v>3</v>
      </c>
      <c r="BI45" s="118" t="str">
        <f>Tournament!N56</f>
        <v>Argentína</v>
      </c>
    </row>
    <row r="46" spans="1:61">
      <c r="A46" s="118">
        <f>K46+L46+M46+N46</f>
        <v>1</v>
      </c>
      <c r="B46" s="118" t="str">
        <f>Tournament!H26</f>
        <v>Németország</v>
      </c>
      <c r="C46" s="118">
        <f>SUMIF(AP$4:AP$60,B46,AX$4:AX$60)+SUMIF(AT$4:AT$60,B46,AX$4:AX$60)</f>
        <v>2</v>
      </c>
      <c r="D46" s="118">
        <f>SUMIF(AQ$4:AQ$60,B46,AX$4:AX$60)+SUMIF(AU$4:AU$60,B46,AX$4:AX$60)</f>
        <v>1</v>
      </c>
      <c r="E46" s="118">
        <f>SUMIF(AR$4:AR$60,B46,AX$4:AX$60)+SUMIF(AV$4:AV$60,B46,AX$4:AX$60)</f>
        <v>0</v>
      </c>
      <c r="F46" s="118">
        <f>SUMIF($BF$3:$BF$60,B46,$BG$3:$BG$60)+SUMIF($BI$3:$BI$60,B46,$BH$3:$BH$60)</f>
        <v>7</v>
      </c>
      <c r="G46" s="118">
        <f>SUMIF($BI$3:$BI$60,B46,$BG$3:$BG$60)+SUMIF($BF$3:$BF$60,B46,$BH$3:$BH$60)</f>
        <v>2</v>
      </c>
      <c r="H46" s="118">
        <f>F46-G46+100</f>
        <v>105</v>
      </c>
      <c r="I46" s="117">
        <f>C46*3+D46</f>
        <v>7</v>
      </c>
      <c r="J46" s="118">
        <v>2</v>
      </c>
      <c r="K46" s="118">
        <f>RANK(I46,I$46:I$49)</f>
        <v>1</v>
      </c>
      <c r="L46" s="118">
        <f>SUMPRODUCT((I$46:I$49=I46)*(H$46:H$49&gt;H46))</f>
        <v>0</v>
      </c>
      <c r="M46" s="118">
        <f>SUMPRODUCT((I$46:I$49=I46)*(H$46:H$49=H46)*(F$46:F$49&gt;F46))</f>
        <v>0</v>
      </c>
      <c r="N46" s="118">
        <f>SUMPRODUCT((I$46:I$49=I46)*(H$46:H$49=H46)*(F$46:F$49=F46)*(J$46:J$49&lt;J46))</f>
        <v>0</v>
      </c>
      <c r="O46" s="118">
        <f>IF(SUM(AG46:AI49)=0,IF(COUNTIF(AJ46:AJ49,0)&gt;1,1,AJ46+1),X46)</f>
        <v>1</v>
      </c>
      <c r="P46" s="118" t="str">
        <f>VLOOKUP(1,A$46:B$49,2,FALSE)</f>
        <v>Németország</v>
      </c>
      <c r="Q46" s="118">
        <f>SUMIF(B$4:B$60,P46,F$4:F$60)</f>
        <v>7</v>
      </c>
      <c r="R46" s="118">
        <f>SUMIF(B$4:B$60,P46,H$4:H$60)</f>
        <v>105</v>
      </c>
      <c r="S46" s="117">
        <f>SUMIF($B$4:$B$60,$P46,I$4:I$60)</f>
        <v>7</v>
      </c>
      <c r="T46" s="118">
        <f>SUMIF($B$4:$B$60,$P46,A$4:A$60)</f>
        <v>1</v>
      </c>
      <c r="U46" s="118">
        <f t="shared" ref="U46:V49" si="12">SUMIF($B$4:$B$60,$P46,L$4:L$60)</f>
        <v>0</v>
      </c>
      <c r="V46" s="118">
        <f t="shared" si="12"/>
        <v>0</v>
      </c>
      <c r="W46" s="118">
        <f>SUMIF($B$4:$B$60,$P46,J$4:J$60)</f>
        <v>2</v>
      </c>
      <c r="X46" s="118">
        <f>IF(Y46=0,T46,T46+AG46+AH46+AI46)</f>
        <v>1</v>
      </c>
      <c r="Y46" s="118">
        <f>IF(AND(S46=S47,R46=R47,Q46=Q47),P46,0)</f>
        <v>0</v>
      </c>
      <c r="Z46" s="118">
        <f>SUMIF($AY$4:$AY$60,$Y46,$AX$4:$AX$60)+SUMIF($BB$4:$BB$60,$Y46,$AX$4:$AX$60)</f>
        <v>0</v>
      </c>
      <c r="AA46" s="118">
        <f>SUMIF($AZ$4:$AZ$60,$Y46,$AX$4:$AX$60)+SUMIF($BC$4:$BC$60,$Y46,$AX$4:$AX$60)</f>
        <v>0</v>
      </c>
      <c r="AB46" s="118">
        <f>SUMIF($BA$4:$BA$60,$Y46,$AX$4:$AX$60)+SUMIF($BD$4:$BD$60,$Y46,$AX$4:$AX$60)</f>
        <v>0</v>
      </c>
      <c r="AC46" s="118">
        <f>SUMIF(AY$4:AY$60,Y46,AS$4:AS$60)+SUMIF(BB$4:BB$60,Y46,AW$4:AW$60)+SUMIF(AZ$4:AZ$60,Y46,AS$4:AS$60)+SUMIF(BC$4:BC$60,Y46,AW$4:AW$60)</f>
        <v>0</v>
      </c>
      <c r="AD46" s="118">
        <f>SUMIF(BA$4:BA$60,Y46,AS$4:AS$60)+SUMIF(BD$4:BD$60,Y46,AW$4:AW$60)+SUMIF(AZ$4:AZ$60,Y46,AS$4:AS$60)+SUMIF(BC$4:BC$60,Y46,AW$4:AW$60)</f>
        <v>0</v>
      </c>
      <c r="AE46" s="118">
        <f>AC46-AD46+100</f>
        <v>100</v>
      </c>
      <c r="AF46" s="117" t="str">
        <f>IF(Y46&lt;&gt;0,Z46*3+AA46,"")</f>
        <v/>
      </c>
      <c r="AG46" s="118">
        <f>IF(Y46&lt;&gt;0,RANK(AF46,AF$46:AF$49)-1,5)</f>
        <v>5</v>
      </c>
      <c r="AH46" s="118">
        <f>IF(Y46&lt;&gt;0,SUMPRODUCT((AF$46:AF$49=AF46)*(AE$46:AE$49&gt;AE46)),5)</f>
        <v>5</v>
      </c>
      <c r="AI46" s="118">
        <f>IF(Y46&lt;&gt;0,SUMPRODUCT((AF$46:AF$49=AF46)*(AE$46:AE$49=AE46)*(AC$46:AC$49&gt;AC46)),5)</f>
        <v>5</v>
      </c>
      <c r="AJ46" s="118">
        <f>IF(Y46&lt;&gt;0,SUMPRODUCT(($AF46:$AF49=AF46)*($AE46:$AE49=AE46)*($AC46:$AC49=AC46)*($AK46:$AK49&lt;AK46)),5)</f>
        <v>5</v>
      </c>
      <c r="AK46" s="118">
        <f>IF(AL46=0,0,VLOOKUP(Y46,Tournament!AE$49:AF$52,2,FALSE))</f>
        <v>0</v>
      </c>
      <c r="AL46" s="118">
        <f>IF(Y46&lt;&gt;0,IF(SUM(AG46:AI46)=SUM(AG47:AI47),1,0),0)</f>
        <v>0</v>
      </c>
      <c r="AM46" s="118">
        <f>IF(AN46&lt;&gt;0,1,0)</f>
        <v>0</v>
      </c>
      <c r="AN46" s="118">
        <f>IF(AL46=1,Y46,0)</f>
        <v>0</v>
      </c>
      <c r="AO46" s="118">
        <v>43</v>
      </c>
      <c r="AP46" s="118" t="str">
        <f>IF(AND(Tournament!J56&lt;&gt;"",Tournament!L56&lt;&gt;""),IF(Tournament!J56&gt;Tournament!L56,Tournament!H56,""),"")</f>
        <v/>
      </c>
      <c r="AQ46" s="118" t="str">
        <f>IF(AND(Tournament!J56&lt;&gt;"",Tournament!L56&lt;&gt;""),IF(Tournament!J56=Tournament!L56,Tournament!H56,""),"")</f>
        <v/>
      </c>
      <c r="AR46" s="118" t="str">
        <f>IF(AND(Tournament!J56&lt;&gt;"",Tournament!L56&lt;&gt;""),IF(Tournament!J56&gt;Tournament!L56,Tournament!N56,""),"")</f>
        <v/>
      </c>
      <c r="AS46" s="118">
        <f>IF(AND(Tournament!J56&lt;&gt;"",Tournament!L56&lt;&gt;""),Tournament!J56,0)</f>
        <v>2</v>
      </c>
      <c r="AT46" s="118" t="str">
        <f>IF(AND(Tournament!J56&lt;&gt;"",Tournament!L56&lt;&gt;""),IF(Tournament!J56&lt;Tournament!L56,Tournament!N56,""),"")</f>
        <v>Argentína</v>
      </c>
      <c r="AU46" s="118" t="str">
        <f>IF(AND(Tournament!J56&lt;&gt;"",Tournament!L56&lt;&gt;""),IF(Tournament!J56=Tournament!L56,Tournament!N56,""),"")</f>
        <v/>
      </c>
      <c r="AV46" s="118" t="str">
        <f>IF(AND(Tournament!J56&lt;&gt;"",Tournament!L56&lt;&gt;""),IF(Tournament!J56&lt;Tournament!L56,Tournament!H56,""),"")</f>
        <v>Nigéria</v>
      </c>
      <c r="AW46" s="118">
        <f>IF(AND(Tournament!J56&lt;&gt;"",Tournament!L56&lt;&gt;""),Tournament!L56,0)</f>
        <v>3</v>
      </c>
      <c r="AX46" s="118">
        <v>1</v>
      </c>
      <c r="AY46" s="118" t="str">
        <f t="shared" si="1"/>
        <v/>
      </c>
      <c r="AZ46" s="118" t="str">
        <f t="shared" si="2"/>
        <v/>
      </c>
      <c r="BA46" s="118" t="str">
        <f t="shared" si="3"/>
        <v/>
      </c>
      <c r="BB46" s="118" t="str">
        <f t="shared" si="4"/>
        <v/>
      </c>
      <c r="BC46" s="118" t="str">
        <f t="shared" si="5"/>
        <v/>
      </c>
      <c r="BD46" s="118" t="str">
        <f t="shared" si="6"/>
        <v/>
      </c>
      <c r="BE46" s="118">
        <v>44</v>
      </c>
      <c r="BF46" s="118" t="str">
        <f>Tournament!H57</f>
        <v>Bosznia-Hercegovina</v>
      </c>
      <c r="BG46" s="118">
        <f>IF(AND(Tournament!J57&lt;&gt;"",Tournament!L57&lt;&gt;""),Tournament!J57,"")</f>
        <v>3</v>
      </c>
      <c r="BH46" s="118">
        <f>IF(AND(Tournament!L57&lt;&gt;"",Tournament!J57&lt;&gt;""),Tournament!L57,"")</f>
        <v>1</v>
      </c>
      <c r="BI46" s="118" t="str">
        <f>Tournament!N57</f>
        <v>Irán</v>
      </c>
    </row>
    <row r="47" spans="1:61">
      <c r="A47" s="118">
        <f>K47+L47+M47+N47</f>
        <v>3</v>
      </c>
      <c r="B47" s="118" t="str">
        <f>Tournament!N26</f>
        <v>Portugália</v>
      </c>
      <c r="C47" s="118">
        <f>SUMIF(AP$4:AP$60,B47,AX$4:AX$60)+SUMIF(AT$4:AT$60,B47,AX$4:AX$60)</f>
        <v>1</v>
      </c>
      <c r="D47" s="118">
        <f>SUMIF(AQ$4:AQ$60,B47,AX$4:AX$60)+SUMIF(AU$4:AU$60,B47,AX$4:AX$60)</f>
        <v>1</v>
      </c>
      <c r="E47" s="118">
        <f>SUMIF(AR$4:AR$60,B47,AX$4:AX$60)+SUMIF(AV$4:AV$60,B47,AX$4:AX$60)</f>
        <v>1</v>
      </c>
      <c r="F47" s="118">
        <f>SUMIF($BF$3:$BF$60,B47,$BG$3:$BG$60)+SUMIF($BI$3:$BI$60,B47,$BH$3:$BH$60)</f>
        <v>4</v>
      </c>
      <c r="G47" s="118">
        <f>SUMIF($BI$3:$BI$60,B47,$BG$3:$BG$60)+SUMIF($BF$3:$BF$60,B47,$BH$3:$BH$60)</f>
        <v>7</v>
      </c>
      <c r="H47" s="118">
        <f>F47-G47+100</f>
        <v>97</v>
      </c>
      <c r="I47" s="117">
        <f>C47*3+D47</f>
        <v>4</v>
      </c>
      <c r="J47" s="118">
        <v>14</v>
      </c>
      <c r="K47" s="118">
        <f>RANK(I47,I$46:I$49)</f>
        <v>2</v>
      </c>
      <c r="L47" s="118">
        <f>SUMPRODUCT((I$46:I$49=I47)*(H$46:H$49&gt;H47))</f>
        <v>1</v>
      </c>
      <c r="M47" s="118">
        <f>SUMPRODUCT((I$46:I$49=I47)*(H$46:H$49=H47)*(F$46:F$49&gt;F47))</f>
        <v>0</v>
      </c>
      <c r="N47" s="118">
        <f>SUMPRODUCT((I$46:I$49=I47)*(H$46:H$49=H47)*(F$46:F$49=F47)*(J$46:J$49&lt;J47))</f>
        <v>0</v>
      </c>
      <c r="O47" s="118">
        <f>IF(SUM(AG46:AI49)=0,IF(COUNTIF(AJ46:AJ49,0)&gt;1,2,AJ47+1),IF(AND(X46=1,X47=3,Y46&lt;&gt;0,Y47&lt;&gt;0,Y48=0,Y49=0),2,IF(AND(X46=2,X47=2,Y46&lt;&gt;0,Y47&lt;&gt;0,Y48=0,Y49=0),1,X47)))</f>
        <v>2</v>
      </c>
      <c r="P47" s="118" t="str">
        <f>VLOOKUP(2,A$46:B$49,2,FALSE)</f>
        <v>Egyesült Államok</v>
      </c>
      <c r="Q47" s="118">
        <f>SUMIF(B$4:B$60,P47,F$4:F$60)</f>
        <v>4</v>
      </c>
      <c r="R47" s="118">
        <f>SUMIF(B$4:B$60,P47,H$4:H$60)</f>
        <v>100</v>
      </c>
      <c r="S47" s="117">
        <f>SUMIF($B$4:$B$60,$P47,I$4:I$60)</f>
        <v>4</v>
      </c>
      <c r="T47" s="118">
        <f>SUMIF($B$4:$B$60,$P47,A$4:A$60)</f>
        <v>2</v>
      </c>
      <c r="U47" s="118">
        <f t="shared" si="12"/>
        <v>0</v>
      </c>
      <c r="V47" s="118">
        <f t="shared" si="12"/>
        <v>0</v>
      </c>
      <c r="W47" s="118">
        <f>SUMIF($B$4:$B$60,$P47,J$4:J$60)</f>
        <v>13</v>
      </c>
      <c r="X47" s="118">
        <f>IF(Y47=0,T47,T47+AG47+AH47+AI47)</f>
        <v>2</v>
      </c>
      <c r="Y47" s="118">
        <f>IF(OR(AND(S46=S47,R46=R47,Q46=Q47),AND(S48=S47,R48=R47,Q48=Q47)),P47,0)</f>
        <v>0</v>
      </c>
      <c r="Z47" s="118">
        <f>SUMIF($AY$4:$AY$60,$Y47,$AX$4:$AX$60)+SUMIF($BB$4:$BB$60,$Y47,$AX$4:$AX$60)</f>
        <v>0</v>
      </c>
      <c r="AA47" s="118">
        <f>SUMIF($AZ$4:$AZ$60,$Y47,$AX$4:$AX$60)+SUMIF($BC$4:$BC$60,$Y47,$AX$4:$AX$60)</f>
        <v>0</v>
      </c>
      <c r="AB47" s="118">
        <f>SUMIF($BA$4:$BA$60,$Y47,$AX$4:$AX$60)+SUMIF($BD$4:$BD$60,$Y47,$AX$4:$AX$60)</f>
        <v>0</v>
      </c>
      <c r="AC47" s="118">
        <f>SUMIF(AY$4:AY$60,Y47,AS$4:AS$60)+SUMIF(BB$4:BB$60,Y47,AW$4:AW$60)+SUMIF(AZ$4:AZ$60,Y47,AS$4:AS$60)+SUMIF(BC$4:BC$60,Y47,AW$4:AW$60)</f>
        <v>0</v>
      </c>
      <c r="AD47" s="118">
        <f>SUMIF(BA$4:BA$60,Y47,AS$4:AS$60)+SUMIF(BD$4:BD$60,Y47,AW$4:AW$60)+SUMIF(AZ$4:AZ$60,Y47,AS$4:AS$60)+SUMIF(BC$4:BC$60,Y47,AW$4:AW$60)</f>
        <v>0</v>
      </c>
      <c r="AE47" s="118">
        <f>AC47-AD47+100</f>
        <v>100</v>
      </c>
      <c r="AF47" s="117" t="str">
        <f>IF(Y47&lt;&gt;0,Z47*3+AA47,"")</f>
        <v/>
      </c>
      <c r="AG47" s="118">
        <f>IF(Y47&lt;&gt;0,RANK(AF47,AF$46:AF$49)-1,5)</f>
        <v>5</v>
      </c>
      <c r="AH47" s="118">
        <f>IF(Y47&lt;&gt;0,SUMPRODUCT((AF$46:AF$49=AF47)*(AE$46:AE$49&gt;AE47)),5)</f>
        <v>5</v>
      </c>
      <c r="AI47" s="118">
        <f>IF(Y47&lt;&gt;0,SUMPRODUCT((AF$46:AF$49=AF47)*(AE$46:AE$49=AE47)*(AC$46:AC$49&gt;AC47)),5)</f>
        <v>5</v>
      </c>
      <c r="AJ47" s="118">
        <f>IF(Y47&lt;&gt;0,SUMPRODUCT(($AF46:$AF49=AF47)*($AE46:$AE49=AE47)*($AC46:$AC49=AC47)*($AK46:$AK49&lt;AK47)),5)</f>
        <v>5</v>
      </c>
      <c r="AK47" s="118">
        <f>IF(AL47=0,0,VLOOKUP(Y47,Tournament!AE$49:AF$52,2,FALSE))</f>
        <v>0</v>
      </c>
      <c r="AL47" s="118">
        <f>IF(Y47&lt;&gt;0,IF(OR(SUM(AG47:AI47)=SUM(AG46:AI46),SUM(AG47:AI47)=SUM(AG48:AI48)),1,0),0)</f>
        <v>0</v>
      </c>
      <c r="AM47" s="118">
        <f>IF(AN47&lt;&gt;0,AM46+1,AM46)</f>
        <v>0</v>
      </c>
      <c r="AN47" s="118">
        <f>IF(AL47=1,Y47,0)</f>
        <v>0</v>
      </c>
      <c r="AO47" s="118">
        <v>44</v>
      </c>
      <c r="AP47" s="118" t="str">
        <f>IF(AND(Tournament!J57&lt;&gt;"",Tournament!L57&lt;&gt;""),IF(Tournament!J57&gt;Tournament!L57,Tournament!H57,""),"")</f>
        <v>Bosznia-Hercegovina</v>
      </c>
      <c r="AQ47" s="118" t="str">
        <f>IF(AND(Tournament!J57&lt;&gt;"",Tournament!L57&lt;&gt;""),IF(Tournament!J57=Tournament!L57,Tournament!H57,""),"")</f>
        <v/>
      </c>
      <c r="AR47" s="118" t="str">
        <f>IF(AND(Tournament!J57&lt;&gt;"",Tournament!L57&lt;&gt;""),IF(Tournament!J57&gt;Tournament!L57,Tournament!N57,""),"")</f>
        <v>Irán</v>
      </c>
      <c r="AS47" s="118">
        <f>IF(AND(Tournament!J57&lt;&gt;"",Tournament!L57&lt;&gt;""),Tournament!J57,0)</f>
        <v>3</v>
      </c>
      <c r="AT47" s="118" t="str">
        <f>IF(AND(Tournament!J57&lt;&gt;"",Tournament!L57&lt;&gt;""),IF(Tournament!J57&lt;Tournament!L57,Tournament!N57,""),"")</f>
        <v/>
      </c>
      <c r="AU47" s="118" t="str">
        <f>IF(AND(Tournament!J57&lt;&gt;"",Tournament!L57&lt;&gt;""),IF(Tournament!J57=Tournament!L57,Tournament!N57,""),"")</f>
        <v/>
      </c>
      <c r="AV47" s="118" t="str">
        <f>IF(AND(Tournament!J57&lt;&gt;"",Tournament!L57&lt;&gt;""),IF(Tournament!J57&lt;Tournament!L57,Tournament!H57,""),"")</f>
        <v/>
      </c>
      <c r="AW47" s="118">
        <f>IF(AND(Tournament!J57&lt;&gt;"",Tournament!L57&lt;&gt;""),Tournament!L57,0)</f>
        <v>1</v>
      </c>
      <c r="AX47" s="118">
        <v>1</v>
      </c>
      <c r="AY47" s="118" t="str">
        <f t="shared" si="1"/>
        <v/>
      </c>
      <c r="AZ47" s="118" t="str">
        <f t="shared" si="2"/>
        <v/>
      </c>
      <c r="BA47" s="118" t="str">
        <f t="shared" si="3"/>
        <v/>
      </c>
      <c r="BB47" s="118" t="str">
        <f t="shared" si="4"/>
        <v/>
      </c>
      <c r="BC47" s="118" t="str">
        <f t="shared" si="5"/>
        <v/>
      </c>
      <c r="BD47" s="118" t="str">
        <f t="shared" si="6"/>
        <v/>
      </c>
      <c r="BE47" s="118">
        <v>45</v>
      </c>
      <c r="BF47" s="118" t="str">
        <f>Tournament!H58</f>
        <v>Egyesült Államok</v>
      </c>
      <c r="BG47" s="118">
        <f>IF(AND(Tournament!J58&lt;&gt;"",Tournament!L58&lt;&gt;""),Tournament!J58,"")</f>
        <v>0</v>
      </c>
      <c r="BH47" s="118">
        <f>IF(AND(Tournament!L58&lt;&gt;"",Tournament!J58&lt;&gt;""),Tournament!L58,"")</f>
        <v>1</v>
      </c>
      <c r="BI47" s="118" t="str">
        <f>Tournament!N58</f>
        <v>Németország</v>
      </c>
    </row>
    <row r="48" spans="1:61">
      <c r="A48" s="118">
        <f>K48+L48+M48+N48</f>
        <v>4</v>
      </c>
      <c r="B48" s="118" t="str">
        <f>Tournament!H27</f>
        <v>Ghána</v>
      </c>
      <c r="C48" s="118">
        <f>SUMIF(AP$4:AP$60,B48,AX$4:AX$60)+SUMIF(AT$4:AT$60,B48,AX$4:AX$60)</f>
        <v>0</v>
      </c>
      <c r="D48" s="118">
        <f>SUMIF(AQ$4:AQ$60,B48,AX$4:AX$60)+SUMIF(AU$4:AU$60,B48,AX$4:AX$60)</f>
        <v>1</v>
      </c>
      <c r="E48" s="118">
        <f>SUMIF(AR$4:AR$60,B48,AX$4:AX$60)+SUMIF(AV$4:AV$60,B48,AX$4:AX$60)</f>
        <v>2</v>
      </c>
      <c r="F48" s="118">
        <f>SUMIF($BF$3:$BF$60,B48,$BG$3:$BG$60)+SUMIF($BI$3:$BI$60,B48,$BH$3:$BH$60)</f>
        <v>4</v>
      </c>
      <c r="G48" s="118">
        <f>SUMIF($BI$3:$BI$60,B48,$BG$3:$BG$60)+SUMIF($BF$3:$BF$60,B48,$BH$3:$BH$60)</f>
        <v>6</v>
      </c>
      <c r="H48" s="118">
        <f>F48-G48+100</f>
        <v>98</v>
      </c>
      <c r="I48" s="117">
        <f>C48*3+D48</f>
        <v>1</v>
      </c>
      <c r="J48" s="118">
        <v>22</v>
      </c>
      <c r="K48" s="118">
        <f>RANK(I48,I$46:I$49)</f>
        <v>4</v>
      </c>
      <c r="L48" s="118">
        <f>SUMPRODUCT((I$46:I$49=I48)*(H$46:H$49&gt;H48))</f>
        <v>0</v>
      </c>
      <c r="M48" s="118">
        <f>SUMPRODUCT((I$46:I$49=I48)*(H$46:H$49=H48)*(F$46:F$49&gt;F48))</f>
        <v>0</v>
      </c>
      <c r="N48" s="118">
        <f>SUMPRODUCT((I$46:I$49=I48)*(H$46:H$49=H48)*(F$46:F$49=F48)*(J$46:J$49&lt;J48))</f>
        <v>0</v>
      </c>
      <c r="O48" s="118">
        <f>IF(SUM(AG46:AI49)=0,IF(COUNTIF(AJ46:AJ49,0)&gt;1,3,AJ48+1),IF(AND(X47=3,X48=3,Y47&lt;&gt;0,Y48&lt;&gt;0),2,IF(OR(X48=5,X48=4),3,IF(X48=6,4,X48))))</f>
        <v>3</v>
      </c>
      <c r="P48" s="118" t="str">
        <f>VLOOKUP(3,A$46:B$49,2,FALSE)</f>
        <v>Portugália</v>
      </c>
      <c r="Q48" s="118">
        <f>SUMIF(B$4:B$60,P48,F$4:F$60)</f>
        <v>4</v>
      </c>
      <c r="R48" s="118">
        <f>SUMIF(B$4:B$60,P48,H$4:H$60)</f>
        <v>97</v>
      </c>
      <c r="S48" s="117">
        <f>SUMIF($B$4:$B$60,$P48,I$4:I$60)</f>
        <v>4</v>
      </c>
      <c r="T48" s="118">
        <f>SUMIF($B$4:$B$60,$P48,A$4:A$60)</f>
        <v>3</v>
      </c>
      <c r="U48" s="118">
        <f t="shared" si="12"/>
        <v>1</v>
      </c>
      <c r="V48" s="118">
        <f t="shared" si="12"/>
        <v>0</v>
      </c>
      <c r="W48" s="118">
        <f>SUMIF($B$4:$B$60,$P48,J$4:J$60)</f>
        <v>14</v>
      </c>
      <c r="X48" s="118">
        <f>IF(Y48=0,T48,T48+AG48+AH48+AI48)</f>
        <v>3</v>
      </c>
      <c r="Y48" s="118">
        <f>IF(OR(AND(S47=S48,R47=R48,Q47=Q48),AND(S49=S48,S48=S47,R49=R48,R48=R47,Q49=Q48,Q48=Q47)),P48,0)</f>
        <v>0</v>
      </c>
      <c r="Z48" s="118">
        <f>SUMIF($AY$4:$AY$60,$Y48,$AX$4:$AX$60)+SUMIF($BB$4:$BB$60,$Y48,$AX$4:$AX$60)</f>
        <v>0</v>
      </c>
      <c r="AA48" s="118">
        <f>SUMIF($AZ$4:$AZ$60,$Y48,$AX$4:$AX$60)+SUMIF($BC$4:$BC$60,$Y48,$AX$4:$AX$60)</f>
        <v>0</v>
      </c>
      <c r="AB48" s="118">
        <f>SUMIF($BA$4:$BA$60,$Y48,$AX$4:$AX$60)+SUMIF($BD$4:$BD$60,$Y48,$AX$4:$AX$60)</f>
        <v>0</v>
      </c>
      <c r="AC48" s="118">
        <f>SUMIF(AY$4:AY$60,Y48,AS$4:AS$60)+SUMIF(BB$4:BB$60,Y48,AW$4:AW$60)+SUMIF(AZ$4:AZ$60,Y48,AS$4:AS$60)+SUMIF(BC$4:BC$60,Y48,AW$4:AW$60)</f>
        <v>0</v>
      </c>
      <c r="AD48" s="118">
        <f>SUMIF(BA$4:BA$60,Y48,AS$4:AS$60)+SUMIF(BD$4:BD$60,Y48,AW$4:AW$60)+SUMIF(AZ$4:AZ$60,Y48,AS$4:AS$60)+SUMIF(BC$4:BC$60,Y48,AW$4:AW$60)</f>
        <v>0</v>
      </c>
      <c r="AE48" s="118">
        <f>AC48-AD48+100</f>
        <v>100</v>
      </c>
      <c r="AF48" s="117" t="str">
        <f>IF(Y48&lt;&gt;0,Z48*3+AA48,"")</f>
        <v/>
      </c>
      <c r="AG48" s="118">
        <f>IF(Y48&lt;&gt;0,RANK(AF48,AF$46:AF$49)-1,5)</f>
        <v>5</v>
      </c>
      <c r="AH48" s="118">
        <f>IF(Y48&lt;&gt;0,SUMPRODUCT((AF$46:AF$49=AF48)*(AE$46:AE$49&gt;AE48)),5)</f>
        <v>5</v>
      </c>
      <c r="AI48" s="118">
        <f>IF(Y48&lt;&gt;0,SUMPRODUCT((AF$46:AF$49=AF48)*(AE$46:AE$49=AE48)*(AC$46:AC$49&gt;AC48)),5)</f>
        <v>5</v>
      </c>
      <c r="AJ48" s="118">
        <f>IF(Y48&lt;&gt;0,SUMPRODUCT(($AF46:$AF49=AF48)*($AE46:$AE49=AE48)*($AC46:$AC49=AC48)*($AK46:$AK49&lt;AK48)),5)</f>
        <v>5</v>
      </c>
      <c r="AK48" s="118">
        <f>IF(AL48=0,0,VLOOKUP(Y48,Tournament!AE$49:AF$52,2,FALSE))</f>
        <v>0</v>
      </c>
      <c r="AL48" s="118">
        <f>IF(Y48&lt;&gt;0,IF(OR(SUM(AG48:AI48)=SUM(AG47:AI47),SUM(AG48:AI48)=SUM(AG49:AI49)),1,0),0)</f>
        <v>0</v>
      </c>
      <c r="AM48" s="118">
        <f>IF(AN48&lt;&gt;0,AM47+1,AM47)</f>
        <v>0</v>
      </c>
      <c r="AN48" s="118">
        <f>IF(AL48=1,Y48,0)</f>
        <v>0</v>
      </c>
      <c r="AO48" s="118">
        <v>45</v>
      </c>
      <c r="AP48" s="118" t="str">
        <f>IF(AND(Tournament!J58&lt;&gt;"",Tournament!L58&lt;&gt;""),IF(Tournament!J58&gt;Tournament!L58,Tournament!H58,""),"")</f>
        <v/>
      </c>
      <c r="AQ48" s="118" t="str">
        <f>IF(AND(Tournament!J58&lt;&gt;"",Tournament!L58&lt;&gt;""),IF(Tournament!J58=Tournament!L58,Tournament!H58,""),"")</f>
        <v/>
      </c>
      <c r="AR48" s="118" t="str">
        <f>IF(AND(Tournament!J58&lt;&gt;"",Tournament!L58&lt;&gt;""),IF(Tournament!J58&gt;Tournament!L58,Tournament!N58,""),"")</f>
        <v/>
      </c>
      <c r="AS48" s="118">
        <f>IF(AND(Tournament!J58&lt;&gt;"",Tournament!L58&lt;&gt;""),Tournament!J58,0)</f>
        <v>0</v>
      </c>
      <c r="AT48" s="118" t="str">
        <f>IF(AND(Tournament!J58&lt;&gt;"",Tournament!L58&lt;&gt;""),IF(Tournament!J58&lt;Tournament!L58,Tournament!N58,""),"")</f>
        <v>Németország</v>
      </c>
      <c r="AU48" s="118" t="str">
        <f>IF(AND(Tournament!J58&lt;&gt;"",Tournament!L58&lt;&gt;""),IF(Tournament!J58=Tournament!L58,Tournament!N58,""),"")</f>
        <v/>
      </c>
      <c r="AV48" s="118" t="str">
        <f>IF(AND(Tournament!J58&lt;&gt;"",Tournament!L58&lt;&gt;""),IF(Tournament!J58&lt;Tournament!L58,Tournament!H58,""),"")</f>
        <v>Egyesült Államok</v>
      </c>
      <c r="AW48" s="118">
        <f>IF(AND(Tournament!J58&lt;&gt;"",Tournament!L58&lt;&gt;""),Tournament!L58,0)</f>
        <v>1</v>
      </c>
      <c r="AX48" s="118">
        <v>1</v>
      </c>
      <c r="AY48" s="118" t="str">
        <f t="shared" si="1"/>
        <v/>
      </c>
      <c r="AZ48" s="118" t="str">
        <f t="shared" si="2"/>
        <v/>
      </c>
      <c r="BA48" s="118" t="str">
        <f t="shared" si="3"/>
        <v/>
      </c>
      <c r="BB48" s="118" t="str">
        <f t="shared" si="4"/>
        <v/>
      </c>
      <c r="BC48" s="118" t="str">
        <f t="shared" si="5"/>
        <v/>
      </c>
      <c r="BD48" s="118" t="str">
        <f t="shared" si="6"/>
        <v/>
      </c>
      <c r="BE48" s="118">
        <v>46</v>
      </c>
      <c r="BF48" s="118" t="str">
        <f>Tournament!H59</f>
        <v>Portugália</v>
      </c>
      <c r="BG48" s="118">
        <f>IF(AND(Tournament!J59&lt;&gt;"",Tournament!L59&lt;&gt;""),Tournament!J59,"")</f>
        <v>2</v>
      </c>
      <c r="BH48" s="118">
        <f>IF(AND(Tournament!L59&lt;&gt;"",Tournament!J59&lt;&gt;""),Tournament!L59,"")</f>
        <v>1</v>
      </c>
      <c r="BI48" s="118" t="str">
        <f>Tournament!N59</f>
        <v>Ghána</v>
      </c>
    </row>
    <row r="49" spans="1:61">
      <c r="A49" s="118">
        <f>K49+L49+M49+N49</f>
        <v>2</v>
      </c>
      <c r="B49" s="118" t="str">
        <f>Tournament!N27</f>
        <v>Egyesült Államok</v>
      </c>
      <c r="C49" s="118">
        <f>SUMIF(AP$4:AP$60,B49,AX$4:AX$60)+SUMIF(AT$4:AT$60,B49,AX$4:AX$60)</f>
        <v>1</v>
      </c>
      <c r="D49" s="118">
        <f>SUMIF(AQ$4:AQ$60,B49,AX$4:AX$60)+SUMIF(AU$4:AU$60,B49,AX$4:AX$60)</f>
        <v>1</v>
      </c>
      <c r="E49" s="118">
        <f>SUMIF(AR$4:AR$60,B49,AX$4:AX$60)+SUMIF(AV$4:AV$60,B49,AX$4:AX$60)</f>
        <v>1</v>
      </c>
      <c r="F49" s="118">
        <f>SUMIF($BF$3:$BF$60,B49,$BG$3:$BG$60)+SUMIF($BI$3:$BI$60,B49,$BH$3:$BH$60)</f>
        <v>4</v>
      </c>
      <c r="G49" s="118">
        <f>SUMIF($BI$3:$BI$60,B49,$BG$3:$BG$60)+SUMIF($BF$3:$BF$60,B49,$BH$3:$BH$60)</f>
        <v>4</v>
      </c>
      <c r="H49" s="118">
        <f>F49-G49+100</f>
        <v>100</v>
      </c>
      <c r="I49" s="117">
        <f>C49*3+D49</f>
        <v>4</v>
      </c>
      <c r="J49" s="118">
        <v>13</v>
      </c>
      <c r="K49" s="118">
        <f>RANK(I49,I$46:I$49)</f>
        <v>2</v>
      </c>
      <c r="L49" s="118">
        <f>SUMPRODUCT((I$46:I$49=I49)*(H$46:H$49&gt;H49))</f>
        <v>0</v>
      </c>
      <c r="M49" s="118">
        <f>SUMPRODUCT((I$46:I$49=I49)*(H$46:H$49=H49)*(F$46:F$49&gt;F49))</f>
        <v>0</v>
      </c>
      <c r="N49" s="118">
        <f>SUMPRODUCT((I$46:I$49=I49)*(H$46:H$49=H49)*(F$46:F$49=F49)*(J$46:J$49&lt;J49))</f>
        <v>0</v>
      </c>
      <c r="O49" s="118">
        <f>IF(SUM(AG46:AI49)=0,IF(COUNTIF(AJ46:AJ49,0)&gt;1,4,AJ49+1),IF(X49=X48,IF(X49=3,4,X49),IF(X49=5,3,IF(X49=6,4,X49))))</f>
        <v>4</v>
      </c>
      <c r="P49" s="118" t="str">
        <f>VLOOKUP(4,A$46:B$49,2,FALSE)</f>
        <v>Ghána</v>
      </c>
      <c r="Q49" s="118">
        <f>SUMIF(B$4:B$60,P49,F$4:F$60)</f>
        <v>4</v>
      </c>
      <c r="R49" s="118">
        <f>SUMIF(B$4:B$60,P49,H$4:H$60)</f>
        <v>98</v>
      </c>
      <c r="S49" s="117">
        <f>SUMIF($B$4:$B$60,$P49,I$4:I$60)</f>
        <v>1</v>
      </c>
      <c r="T49" s="118">
        <f>SUMIF($B$4:$B$60,$P49,A$4:A$60)</f>
        <v>4</v>
      </c>
      <c r="U49" s="118">
        <f t="shared" si="12"/>
        <v>0</v>
      </c>
      <c r="V49" s="118">
        <f t="shared" si="12"/>
        <v>0</v>
      </c>
      <c r="W49" s="118">
        <f>SUMIF($B$4:$B$60,$P49,J$4:J$60)</f>
        <v>22</v>
      </c>
      <c r="X49" s="118">
        <f>IF(Y49=0,T49,T49+AG49+AH49+AI49)</f>
        <v>4</v>
      </c>
      <c r="Y49" s="118">
        <f>IF(AND(S48=S49,S48=S47,R48=R49,R48=R47,Q48=Q49,Q48=Q47),P49,0)</f>
        <v>0</v>
      </c>
      <c r="Z49" s="118">
        <f>SUMIF($AY$4:$AY$60,$Y49,$AX$4:$AX$60)+SUMIF($BB$4:$BB$60,$Y49,$AX$4:$AX$60)</f>
        <v>0</v>
      </c>
      <c r="AA49" s="118">
        <f>SUMIF($AZ$4:$AZ$60,$Y49,$AX$4:$AX$60)+SUMIF($BC$4:$BC$60,$Y49,$AX$4:$AX$60)</f>
        <v>0</v>
      </c>
      <c r="AB49" s="118">
        <f>SUMIF($BA$4:$BA$60,$Y49,$AX$4:$AX$60)+SUMIF($BD$4:$BD$60,$Y49,$AX$4:$AX$60)</f>
        <v>0</v>
      </c>
      <c r="AC49" s="118">
        <f>SUMIF(AY$4:AY$60,Y49,AS$4:AS$60)+SUMIF(BB$4:BB$60,Y49,AW$4:AW$60)+SUMIF(AZ$4:AZ$60,Y49,AS$4:AS$60)+SUMIF(BC$4:BC$60,Y49,AW$4:AW$60)</f>
        <v>0</v>
      </c>
      <c r="AD49" s="118">
        <f>SUMIF(BA$4:BA$60,Y49,AS$4:AS$60)+SUMIF(BD$4:BD$60,Y49,AW$4:AW$60)+SUMIF(AZ$4:AZ$60,Y49,AS$4:AS$60)+SUMIF(BC$4:BC$60,Y49,AW$4:AW$60)</f>
        <v>0</v>
      </c>
      <c r="AE49" s="118">
        <f>AC49-AD49+100</f>
        <v>100</v>
      </c>
      <c r="AF49" s="117" t="str">
        <f>IF(Y49&lt;&gt;0,Z49*3+AA49,"")</f>
        <v/>
      </c>
      <c r="AG49" s="118">
        <f>IF(Y49&lt;&gt;0,RANK(AF49,AF$46:AF$49)-1,5)</f>
        <v>5</v>
      </c>
      <c r="AH49" s="118">
        <f>IF(Y49&lt;&gt;0,SUMPRODUCT((AF$46:AF$49=AF49)*(AE$46:AE$49&gt;AE49)),5)</f>
        <v>5</v>
      </c>
      <c r="AI49" s="118">
        <f>IF(Y49&lt;&gt;0,SUMPRODUCT((AF$46:AF$49=AF49)*(AE$46:AE$49=AE49)*(AC$46:AC$49&gt;AC49)),5)</f>
        <v>5</v>
      </c>
      <c r="AJ49" s="118">
        <f>IF(Y49&lt;&gt;0,SUMPRODUCT(($AF46:$AF49=AF49)*($AE46:$AE49=AE49)*($AC46:$AC49=AC49)*($AK46:$AK49&lt;AK49)),5)</f>
        <v>5</v>
      </c>
      <c r="AK49" s="118">
        <f>IF(AL49=0,0,VLOOKUP(Y49,Tournament!AE$49:AF$52,2,FALSE))</f>
        <v>0</v>
      </c>
      <c r="AL49" s="118">
        <f>IF(Y49&lt;&gt;0,IF(SUM(AG49:AI49)=SUM(AG48:AI48),1,0),0)</f>
        <v>0</v>
      </c>
      <c r="AM49" s="118">
        <f>IF(AN49&lt;&gt;0,AM48+1,AM48)</f>
        <v>0</v>
      </c>
      <c r="AN49" s="118">
        <f>IF(AL49=1,Y49,0)</f>
        <v>0</v>
      </c>
      <c r="AO49" s="118">
        <v>46</v>
      </c>
      <c r="AP49" s="118" t="str">
        <f>IF(AND(Tournament!J59&lt;&gt;"",Tournament!L59&lt;&gt;""),IF(Tournament!J59&gt;Tournament!L59,Tournament!H59,""),"")</f>
        <v>Portugália</v>
      </c>
      <c r="AQ49" s="118" t="str">
        <f>IF(AND(Tournament!J59&lt;&gt;"",Tournament!L59&lt;&gt;""),IF(Tournament!J59=Tournament!L59,Tournament!H59,""),"")</f>
        <v/>
      </c>
      <c r="AR49" s="118" t="str">
        <f>IF(AND(Tournament!J59&lt;&gt;"",Tournament!L59&lt;&gt;""),IF(Tournament!J59&gt;Tournament!L59,Tournament!N59,""),"")</f>
        <v>Ghána</v>
      </c>
      <c r="AS49" s="118">
        <f>IF(AND(Tournament!J59&lt;&gt;"",Tournament!L59&lt;&gt;""),Tournament!J59,0)</f>
        <v>2</v>
      </c>
      <c r="AT49" s="118" t="str">
        <f>IF(AND(Tournament!J59&lt;&gt;"",Tournament!L59&lt;&gt;""),IF(Tournament!J59&lt;Tournament!L59,Tournament!N59,""),"")</f>
        <v/>
      </c>
      <c r="AU49" s="118" t="str">
        <f>IF(AND(Tournament!J59&lt;&gt;"",Tournament!L59&lt;&gt;""),IF(Tournament!J59=Tournament!L59,Tournament!N59,""),"")</f>
        <v/>
      </c>
      <c r="AV49" s="118" t="str">
        <f>IF(AND(Tournament!J59&lt;&gt;"",Tournament!L59&lt;&gt;""),IF(Tournament!J59&lt;Tournament!L59,Tournament!H59,""),"")</f>
        <v/>
      </c>
      <c r="AW49" s="118">
        <f>IF(AND(Tournament!J59&lt;&gt;"",Tournament!L59&lt;&gt;""),Tournament!L59,0)</f>
        <v>1</v>
      </c>
      <c r="AX49" s="118">
        <v>1</v>
      </c>
      <c r="AY49" s="118" t="str">
        <f t="shared" si="1"/>
        <v/>
      </c>
      <c r="AZ49" s="118" t="str">
        <f t="shared" si="2"/>
        <v/>
      </c>
      <c r="BA49" s="118" t="str">
        <f t="shared" si="3"/>
        <v/>
      </c>
      <c r="BB49" s="118" t="str">
        <f t="shared" si="4"/>
        <v/>
      </c>
      <c r="BC49" s="118" t="str">
        <f t="shared" si="5"/>
        <v/>
      </c>
      <c r="BD49" s="118" t="str">
        <f t="shared" si="6"/>
        <v/>
      </c>
      <c r="BE49" s="118">
        <v>47</v>
      </c>
      <c r="BF49" s="118" t="str">
        <f>Tournament!H60</f>
        <v>Dél-Kórea</v>
      </c>
      <c r="BG49" s="118">
        <f>IF(AND(Tournament!J60&lt;&gt;"",Tournament!L60&lt;&gt;""),Tournament!J60,"")</f>
        <v>0</v>
      </c>
      <c r="BH49" s="118">
        <f>IF(AND(Tournament!L60&lt;&gt;"",Tournament!J60&lt;&gt;""),Tournament!L60,"")</f>
        <v>1</v>
      </c>
      <c r="BI49" s="118" t="str">
        <f>Tournament!N60</f>
        <v>Belgium</v>
      </c>
    </row>
    <row r="50" spans="1:61">
      <c r="AO50" s="118">
        <v>47</v>
      </c>
      <c r="AP50" s="118" t="str">
        <f>IF(AND(Tournament!J60&lt;&gt;"",Tournament!L60&lt;&gt;""),IF(Tournament!J60&gt;Tournament!L60,Tournament!H60,""),"")</f>
        <v/>
      </c>
      <c r="AQ50" s="118" t="str">
        <f>IF(AND(Tournament!J60&lt;&gt;"",Tournament!L60&lt;&gt;""),IF(Tournament!J60=Tournament!L60,Tournament!H60,""),"")</f>
        <v/>
      </c>
      <c r="AR50" s="118" t="str">
        <f>IF(AND(Tournament!J60&lt;&gt;"",Tournament!L60&lt;&gt;""),IF(Tournament!J60&gt;Tournament!L60,Tournament!N60,""),"")</f>
        <v/>
      </c>
      <c r="AS50" s="118">
        <f>IF(AND(Tournament!J60&lt;&gt;"",Tournament!L60&lt;&gt;""),Tournament!J60,0)</f>
        <v>0</v>
      </c>
      <c r="AT50" s="118" t="str">
        <f>IF(AND(Tournament!J60&lt;&gt;"",Tournament!L60&lt;&gt;""),IF(Tournament!J60&lt;Tournament!L60,Tournament!N60,""),"")</f>
        <v>Belgium</v>
      </c>
      <c r="AU50" s="118" t="str">
        <f>IF(AND(Tournament!J60&lt;&gt;"",Tournament!L60&lt;&gt;""),IF(Tournament!J60=Tournament!L60,Tournament!N60,""),"")</f>
        <v/>
      </c>
      <c r="AV50" s="118" t="str">
        <f>IF(AND(Tournament!J60&lt;&gt;"",Tournament!L60&lt;&gt;""),IF(Tournament!J60&lt;Tournament!L60,Tournament!H60,""),"")</f>
        <v>Dél-Kórea</v>
      </c>
      <c r="AW50" s="118">
        <f>IF(AND(Tournament!J60&lt;&gt;"",Tournament!L60&lt;&gt;""),Tournament!L60,0)</f>
        <v>1</v>
      </c>
      <c r="AX50" s="118">
        <v>1</v>
      </c>
      <c r="AY50" s="118" t="str">
        <f t="shared" si="1"/>
        <v/>
      </c>
      <c r="AZ50" s="118" t="str">
        <f t="shared" si="2"/>
        <v/>
      </c>
      <c r="BA50" s="118" t="str">
        <f t="shared" si="3"/>
        <v/>
      </c>
      <c r="BB50" s="118" t="str">
        <f t="shared" si="4"/>
        <v/>
      </c>
      <c r="BC50" s="118" t="str">
        <f t="shared" si="5"/>
        <v/>
      </c>
      <c r="BD50" s="118" t="str">
        <f t="shared" si="6"/>
        <v/>
      </c>
      <c r="BE50" s="118">
        <v>48</v>
      </c>
      <c r="BF50" s="118" t="str">
        <f>Tournament!H61</f>
        <v>Algéria</v>
      </c>
      <c r="BG50" s="118">
        <f>IF(AND(Tournament!J61&lt;&gt;"",Tournament!L61&lt;&gt;""),Tournament!J61,"")</f>
        <v>1</v>
      </c>
      <c r="BH50" s="118">
        <f>IF(AND(Tournament!L61&lt;&gt;"",Tournament!J61&lt;&gt;""),Tournament!L61,"")</f>
        <v>1</v>
      </c>
      <c r="BI50" s="118" t="str">
        <f>Tournament!N61</f>
        <v>Oroszország</v>
      </c>
    </row>
    <row r="51" spans="1:61">
      <c r="I51" s="117"/>
      <c r="S51" s="117"/>
      <c r="AF51" s="117"/>
      <c r="AO51" s="118">
        <v>48</v>
      </c>
      <c r="AP51" s="118" t="str">
        <f>IF(AND(Tournament!J61&lt;&gt;"",Tournament!L61&lt;&gt;""),IF(Tournament!J61&gt;Tournament!L61,Tournament!H61,""),"")</f>
        <v/>
      </c>
      <c r="AQ51" s="118" t="str">
        <f>IF(AND(Tournament!J61&lt;&gt;"",Tournament!L61&lt;&gt;""),IF(Tournament!J61=Tournament!L61,Tournament!H61,""),"")</f>
        <v>Algéria</v>
      </c>
      <c r="AR51" s="118" t="str">
        <f>IF(AND(Tournament!J61&lt;&gt;"",Tournament!L61&lt;&gt;""),IF(Tournament!J61&gt;Tournament!L61,Tournament!N61,""),"")</f>
        <v/>
      </c>
      <c r="AS51" s="118">
        <f>IF(AND(Tournament!J61&lt;&gt;"",Tournament!L61&lt;&gt;""),Tournament!J61,0)</f>
        <v>1</v>
      </c>
      <c r="AT51" s="118" t="str">
        <f>IF(AND(Tournament!J61&lt;&gt;"",Tournament!L61&lt;&gt;""),IF(Tournament!J61&lt;Tournament!L61,Tournament!N61,""),"")</f>
        <v/>
      </c>
      <c r="AU51" s="118" t="str">
        <f>IF(AND(Tournament!J61&lt;&gt;"",Tournament!L61&lt;&gt;""),IF(Tournament!J61=Tournament!L61,Tournament!N61,""),"")</f>
        <v>Oroszország</v>
      </c>
      <c r="AV51" s="118" t="str">
        <f>IF(AND(Tournament!J61&lt;&gt;"",Tournament!L61&lt;&gt;""),IF(Tournament!J61&lt;Tournament!L61,Tournament!H61,""),"")</f>
        <v/>
      </c>
      <c r="AW51" s="118">
        <f>IF(AND(Tournament!J61&lt;&gt;"",Tournament!L61&lt;&gt;""),Tournament!L61,0)</f>
        <v>1</v>
      </c>
      <c r="AX51" s="118">
        <v>1</v>
      </c>
      <c r="AY51" s="118" t="str">
        <f t="shared" si="1"/>
        <v/>
      </c>
      <c r="AZ51" s="118" t="str">
        <f t="shared" si="2"/>
        <v/>
      </c>
      <c r="BA51" s="118" t="str">
        <f t="shared" si="3"/>
        <v/>
      </c>
      <c r="BB51" s="118" t="str">
        <f t="shared" si="4"/>
        <v/>
      </c>
      <c r="BC51" s="118" t="str">
        <f t="shared" si="5"/>
        <v/>
      </c>
      <c r="BD51" s="118" t="str">
        <f t="shared" si="6"/>
        <v/>
      </c>
    </row>
    <row r="52" spans="1:61">
      <c r="I52" s="117"/>
      <c r="S52" s="117"/>
      <c r="AF52" s="117"/>
    </row>
    <row r="53" spans="1:61">
      <c r="A53" s="118">
        <f>K53+L53+M53+N53</f>
        <v>1</v>
      </c>
      <c r="B53" s="118" t="str">
        <f>Tournament!H28</f>
        <v>Belgium</v>
      </c>
      <c r="C53" s="118">
        <f>SUMIF(AP$4:AP$60,B53,AX$4:AX$60)+SUMIF(AT$4:AT$60,B53,AX$4:AX$60)</f>
        <v>3</v>
      </c>
      <c r="D53" s="118">
        <f>SUMIF(AQ$4:AQ$60,B53,AX$4:AX$60)+SUMIF(AU$4:AU$60,B53,AX$4:AX$60)</f>
        <v>0</v>
      </c>
      <c r="E53" s="118">
        <f>SUMIF(AR$4:AR$60,B53,AX$4:AX$60)+SUMIF(AV$4:AV$60,B53,AX$4:AX$60)</f>
        <v>0</v>
      </c>
      <c r="F53" s="118">
        <f>SUMIF($BF$3:$BF$60,B53,$BG$3:$BG$60)+SUMIF($BI$3:$BI$60,B53,$BH$3:$BH$60)</f>
        <v>4</v>
      </c>
      <c r="G53" s="118">
        <f>SUMIF($BI$3:$BI$60,B53,$BG$3:$BG$60)+SUMIF($BF$3:$BF$60,B53,$BH$3:$BH$60)</f>
        <v>1</v>
      </c>
      <c r="H53" s="118">
        <f>F53-G53+100</f>
        <v>103</v>
      </c>
      <c r="I53" s="117">
        <f>C53*3+D53</f>
        <v>9</v>
      </c>
      <c r="J53" s="118">
        <v>5</v>
      </c>
      <c r="K53" s="118">
        <f>RANK(I53,I$53:I$56)</f>
        <v>1</v>
      </c>
      <c r="L53" s="118">
        <f>SUMPRODUCT((I$53:I$56=I53)*(H$53:H$56&gt;H53))</f>
        <v>0</v>
      </c>
      <c r="M53" s="118">
        <f>SUMPRODUCT((I$53:I$56=I53)*(H$53:H$56=H53)*(F$53:F$56&gt;F53))</f>
        <v>0</v>
      </c>
      <c r="N53" s="118">
        <f>SUMPRODUCT((I$53:I$56=I53)*(H$53:H$56=H53)*(F$53:F$56=F53)*(J$53:J$56&lt;J53))</f>
        <v>0</v>
      </c>
      <c r="O53" s="118">
        <f>IF(SUM(AG53:AI56)=0,IF(COUNTIF(AJ53:AJ56,0)&gt;1,1,AJ53+1),X53)</f>
        <v>1</v>
      </c>
      <c r="P53" s="118" t="str">
        <f>VLOOKUP(1,A$53:B$56,2,FALSE)</f>
        <v>Belgium</v>
      </c>
      <c r="Q53" s="118">
        <f>SUMIF(B$4:B$60,P53,F$4:F$60)</f>
        <v>4</v>
      </c>
      <c r="R53" s="118">
        <f>SUMIF(B$4:B$60,P53,H$4:H$60)</f>
        <v>103</v>
      </c>
      <c r="S53" s="117">
        <f>SUMIF($B$4:$B$60,$P53,I$4:I$60)</f>
        <v>9</v>
      </c>
      <c r="T53" s="118">
        <f>SUMIF($B$4:$B$60,$P53,A$4:A$60)</f>
        <v>1</v>
      </c>
      <c r="U53" s="118">
        <f t="shared" ref="U53:V56" si="13">SUMIF($B$4:$B$60,$P53,L$4:L$60)</f>
        <v>0</v>
      </c>
      <c r="V53" s="118">
        <f t="shared" si="13"/>
        <v>0</v>
      </c>
      <c r="W53" s="118">
        <f>SUMIF($B$4:$B$60,$P53,J$4:J$60)</f>
        <v>5</v>
      </c>
      <c r="X53" s="118">
        <f>IF(Y53=0,T53,T53+AG53+AH53+AI53)</f>
        <v>1</v>
      </c>
      <c r="Y53" s="118">
        <f>IF(AND(S53=S54,R53=R54,Q53=Q54),P53,0)</f>
        <v>0</v>
      </c>
      <c r="Z53" s="118">
        <f>SUMIF($AY$4:$AY$60,$Y53,$AX$4:$AX$60)+SUMIF($BB$4:$BB$60,$Y53,$AX$4:$AX$60)</f>
        <v>0</v>
      </c>
      <c r="AA53" s="118">
        <f>SUMIF($AZ$4:$AZ$60,$Y53,$AX$4:$AX$60)+SUMIF($BC$4:$BC$60,$Y53,$AX$4:$AX$60)</f>
        <v>0</v>
      </c>
      <c r="AB53" s="118">
        <f>SUMIF($BA$4:$BA$60,$Y53,$AX$4:$AX$60)+SUMIF($BD$4:$BD$60,$Y53,$AX$4:$AX$60)</f>
        <v>0</v>
      </c>
      <c r="AC53" s="118">
        <f>SUMIF(AY$4:AY$60,Y53,AS$4:AS$60)+SUMIF(BB$4:BB$60,Y53,AW$4:AW$60)+SUMIF(AZ$4:AZ$60,Y53,AS$4:AS$60)+SUMIF(BC$4:BC$60,Y53,AW$4:AW$60)</f>
        <v>0</v>
      </c>
      <c r="AD53" s="118">
        <f>SUMIF(BA$4:BA$60,Y53,AS$4:AS$60)+SUMIF(BD$4:BD$60,Y53,AW$4:AW$60)+SUMIF(AZ$4:AZ$60,Y53,AS$4:AS$60)+SUMIF(BC$4:BC$60,Y53,AW$4:AW$60)</f>
        <v>0</v>
      </c>
      <c r="AE53" s="118">
        <f>AC53-AD53+100</f>
        <v>100</v>
      </c>
      <c r="AF53" s="117" t="str">
        <f>IF(Y53&lt;&gt;0,Z53*3+AA53,"")</f>
        <v/>
      </c>
      <c r="AG53" s="118">
        <f>IF(Y53&lt;&gt;0,RANK(AF53,AF$53:AF$56)-1,5)</f>
        <v>5</v>
      </c>
      <c r="AH53" s="118">
        <f>IF(Y53&lt;&gt;0,SUMPRODUCT((AF$53:AF$56=AF53)*(AE$53:AE$56&gt;AE53)),5)</f>
        <v>5</v>
      </c>
      <c r="AI53" s="118">
        <f>IF(Y53&lt;&gt;0,SUMPRODUCT((AF$53:AF$56=AF53)*(AE$53:AE$56=AE53)*(AC$53:AC$56&gt;AC53)),5)</f>
        <v>5</v>
      </c>
      <c r="AJ53" s="118">
        <f>IF(Y53&lt;&gt;0,SUMPRODUCT(($AF53:$AF56=AF53)*($AE53:$AE56=AE53)*($AC53:$AC56=AC53)*($AK53:$AK56&lt;AK53)),5)</f>
        <v>5</v>
      </c>
      <c r="AK53" s="118">
        <f>IF(AL53=0,0,VLOOKUP(Y53,Tournament!AE$55:AF$58,2,FALSE))</f>
        <v>0</v>
      </c>
      <c r="AL53" s="118">
        <f>IF(Y53&lt;&gt;0,IF(SUM(AG53:AI53)=SUM(AG54:AI54),1,0),0)</f>
        <v>0</v>
      </c>
      <c r="AM53" s="118">
        <f>IF(AN53&lt;&gt;0,1,0)</f>
        <v>0</v>
      </c>
      <c r="AN53" s="118">
        <f>IF(AL53=1,Y53,0)</f>
        <v>0</v>
      </c>
    </row>
    <row r="54" spans="1:61">
      <c r="A54" s="118">
        <f>K54+L54+M54+N54</f>
        <v>2</v>
      </c>
      <c r="B54" s="118" t="str">
        <f>Tournament!N28</f>
        <v>Algéria</v>
      </c>
      <c r="C54" s="118">
        <f>SUMIF(AP$4:AP$60,B54,AX$4:AX$60)+SUMIF(AT$4:AT$60,B54,AX$4:AX$60)</f>
        <v>1</v>
      </c>
      <c r="D54" s="118">
        <f>SUMIF(AQ$4:AQ$60,B54,AX$4:AX$60)+SUMIF(AU$4:AU$60,B54,AX$4:AX$60)</f>
        <v>1</v>
      </c>
      <c r="E54" s="118">
        <f>SUMIF(AR$4:AR$60,B54,AX$4:AX$60)+SUMIF(AV$4:AV$60,B54,AX$4:AX$60)</f>
        <v>1</v>
      </c>
      <c r="F54" s="118">
        <f>SUMIF($BF$3:$BF$60,B54,$BG$3:$BG$60)+SUMIF($BI$3:$BI$60,B54,$BH$3:$BH$60)</f>
        <v>6</v>
      </c>
      <c r="G54" s="118">
        <f>SUMIF($BI$3:$BI$60,B54,$BG$3:$BG$60)+SUMIF($BF$3:$BF$60,B54,$BH$3:$BH$60)</f>
        <v>5</v>
      </c>
      <c r="H54" s="118">
        <f>F54-G54+100</f>
        <v>101</v>
      </c>
      <c r="I54" s="117">
        <f>C54*3+D54</f>
        <v>4</v>
      </c>
      <c r="J54" s="118">
        <v>25</v>
      </c>
      <c r="K54" s="118">
        <f>RANK(I54,I$53:I$56)</f>
        <v>2</v>
      </c>
      <c r="L54" s="118">
        <f>SUMPRODUCT((I$53:I$56=I54)*(H$53:H$56&gt;H54))</f>
        <v>0</v>
      </c>
      <c r="M54" s="118">
        <f>SUMPRODUCT((I$53:I$56=I54)*(H$53:H$56=H54)*(F$53:F$56&gt;F54))</f>
        <v>0</v>
      </c>
      <c r="N54" s="118">
        <f>SUMPRODUCT((I$53:I$56=I54)*(H$53:H$56=H54)*(F$53:F$56=F54)*(J$53:J$56&lt;J54))</f>
        <v>0</v>
      </c>
      <c r="O54" s="118">
        <f>IF(SUM(AG53:AI56)=0,IF(COUNTIF(AJ53:AJ56,0)&gt;1,2,AJ54+1),IF(AND(X53=1,X54=3,Y53&lt;&gt;0,Y54&lt;&gt;0,Y55=0,Y56=0),2,IF(AND(X53=2,X54=2,Y53&lt;&gt;0,Y54&lt;&gt;0,Y55=0,Y56=0),1,X54)))</f>
        <v>2</v>
      </c>
      <c r="P54" s="118" t="str">
        <f>VLOOKUP(2,A$53:B$56,2,FALSE)</f>
        <v>Algéria</v>
      </c>
      <c r="Q54" s="118">
        <f>SUMIF(B$4:B$60,P54,F$4:F$60)</f>
        <v>6</v>
      </c>
      <c r="R54" s="118">
        <f>SUMIF(B$4:B$60,P54,H$4:H$60)</f>
        <v>101</v>
      </c>
      <c r="S54" s="117">
        <f>SUMIF($B$4:$B$60,$P54,I$4:I$60)</f>
        <v>4</v>
      </c>
      <c r="T54" s="118">
        <f>SUMIF($B$4:$B$60,$P54,A$4:A$60)</f>
        <v>2</v>
      </c>
      <c r="U54" s="118">
        <f t="shared" si="13"/>
        <v>0</v>
      </c>
      <c r="V54" s="118">
        <f t="shared" si="13"/>
        <v>0</v>
      </c>
      <c r="W54" s="118">
        <f>SUMIF($B$4:$B$60,$P54,J$4:J$60)</f>
        <v>25</v>
      </c>
      <c r="X54" s="118">
        <f>IF(Y54=0,T54,T54+AG54+AH54+AI54)</f>
        <v>2</v>
      </c>
      <c r="Y54" s="118">
        <f>IF(OR(AND(S53=S54,R53=R54,Q53=Q54),AND(S55=S54,R55=R54,Q55=Q54)),P54,0)</f>
        <v>0</v>
      </c>
      <c r="Z54" s="118">
        <f>SUMIF($AY$4:$AY$60,$Y54,$AX$4:$AX$60)+SUMIF($BB$4:$BB$60,$Y54,$AX$4:$AX$60)</f>
        <v>0</v>
      </c>
      <c r="AA54" s="118">
        <f>SUMIF($AZ$4:$AZ$60,$Y54,$AX$4:$AX$60)+SUMIF($BC$4:$BC$60,$Y54,$AX$4:$AX$60)</f>
        <v>0</v>
      </c>
      <c r="AB54" s="118">
        <f>SUMIF($BA$4:$BA$60,$Y54,$AX$4:$AX$60)+SUMIF($BD$4:$BD$60,$Y54,$AX$4:$AX$60)</f>
        <v>0</v>
      </c>
      <c r="AC54" s="118">
        <f>SUMIF(AY$4:AY$60,Y54,AS$4:AS$60)+SUMIF(BB$4:BB$60,Y54,AW$4:AW$60)+SUMIF(AZ$4:AZ$60,Y54,AS$4:AS$60)+SUMIF(BC$4:BC$60,Y54,AW$4:AW$60)</f>
        <v>0</v>
      </c>
      <c r="AD54" s="118">
        <f>SUMIF(BA$4:BA$60,Y54,AS$4:AS$60)+SUMIF(BD$4:BD$60,Y54,AW$4:AW$60)+SUMIF(AZ$4:AZ$60,Y54,AS$4:AS$60)+SUMIF(BC$4:BC$60,Y54,AW$4:AW$60)</f>
        <v>0</v>
      </c>
      <c r="AE54" s="118">
        <f>AC54-AD54+100</f>
        <v>100</v>
      </c>
      <c r="AF54" s="117" t="str">
        <f>IF(Y54&lt;&gt;0,Z54*3+AA54,"")</f>
        <v/>
      </c>
      <c r="AG54" s="118">
        <f>IF(Y54&lt;&gt;0,RANK(AF54,AF$53:AF$56)-1,5)</f>
        <v>5</v>
      </c>
      <c r="AH54" s="118">
        <f>IF(Y54&lt;&gt;0,SUMPRODUCT((AF$53:AF$56=AF54)*(AE$53:AE$56&gt;AE54)),5)</f>
        <v>5</v>
      </c>
      <c r="AI54" s="118">
        <f>IF(Y54&lt;&gt;0,SUMPRODUCT((AF$53:AF$56=AF54)*(AE$53:AE$56=AE54)*(AC$53:AC$56&gt;AC54)),5)</f>
        <v>5</v>
      </c>
      <c r="AJ54" s="118">
        <f>IF(Y54&lt;&gt;0,SUMPRODUCT(($AF53:$AF56=AF54)*($AE53:$AE56=AE54)*($AC53:$AC56=AC54)*($AK53:$AK56&lt;AK54)),5)</f>
        <v>5</v>
      </c>
      <c r="AK54" s="118">
        <f>IF(AL54=0,0,VLOOKUP(Y54,Tournament!AE$55:AF$58,2,FALSE))</f>
        <v>0</v>
      </c>
      <c r="AL54" s="118">
        <f>IF(Y54&lt;&gt;0,IF(OR(SUM(AG54:AI54)=SUM(AG53:AI53),SUM(AG54:AI54)=SUM(AG55:AI55)),1,0),0)</f>
        <v>0</v>
      </c>
      <c r="AM54" s="118">
        <f>IF(AN54&lt;&gt;0,AM53+1,AM53)</f>
        <v>0</v>
      </c>
      <c r="AN54" s="118">
        <f>IF(AL54=1,Y54,0)</f>
        <v>0</v>
      </c>
    </row>
    <row r="55" spans="1:61">
      <c r="A55" s="118">
        <f>K55+L55+M55+N55</f>
        <v>3</v>
      </c>
      <c r="B55" s="118" t="str">
        <f>Tournament!H29</f>
        <v>Oroszország</v>
      </c>
      <c r="C55" s="118">
        <f>SUMIF(AP$4:AP$60,B55,AX$4:AX$60)+SUMIF(AT$4:AT$60,B55,AX$4:AX$60)</f>
        <v>0</v>
      </c>
      <c r="D55" s="118">
        <f>SUMIF(AQ$4:AQ$60,B55,AX$4:AX$60)+SUMIF(AU$4:AU$60,B55,AX$4:AX$60)</f>
        <v>2</v>
      </c>
      <c r="E55" s="118">
        <f>SUMIF(AR$4:AR$60,B55,AX$4:AX$60)+SUMIF(AV$4:AV$60,B55,AX$4:AX$60)</f>
        <v>1</v>
      </c>
      <c r="F55" s="118">
        <f>SUMIF($BF$3:$BF$60,B55,$BG$3:$BG$60)+SUMIF($BI$3:$BI$60,B55,$BH$3:$BH$60)</f>
        <v>2</v>
      </c>
      <c r="G55" s="118">
        <f>SUMIF($BI$3:$BI$60,B55,$BG$3:$BG$60)+SUMIF($BF$3:$BF$60,B55,$BH$3:$BH$60)</f>
        <v>3</v>
      </c>
      <c r="H55" s="118">
        <f>F55-G55+100</f>
        <v>99</v>
      </c>
      <c r="I55" s="117">
        <f>C55*3+D55</f>
        <v>2</v>
      </c>
      <c r="J55" s="118">
        <v>19</v>
      </c>
      <c r="K55" s="118">
        <f>RANK(I55,I$53:I$56)</f>
        <v>3</v>
      </c>
      <c r="L55" s="118">
        <f>SUMPRODUCT((I$53:I$56=I55)*(H$53:H$56&gt;H55))</f>
        <v>0</v>
      </c>
      <c r="M55" s="118">
        <f>SUMPRODUCT((I$53:I$56=I55)*(H$53:H$56=H55)*(F$53:F$56&gt;F55))</f>
        <v>0</v>
      </c>
      <c r="N55" s="118">
        <f>SUMPRODUCT((I$53:I$56=I55)*(H$53:H$56=H55)*(F$53:F$56=F55)*(J$53:J$56&lt;J55))</f>
        <v>0</v>
      </c>
      <c r="O55" s="118">
        <f>IF(SUM(AG53:AI56)=0,IF(COUNTIF(AJ53:AJ56,0)&gt;1,3,AJ55+1),IF(AND(X54=3,X55=3,Y54&lt;&gt;0,Y55&lt;&gt;0),2,IF(OR(X55=5,X55=4),3,IF(X55=6,4,X55))))</f>
        <v>3</v>
      </c>
      <c r="P55" s="118" t="str">
        <f>VLOOKUP(3,A$53:B$56,2,FALSE)</f>
        <v>Oroszország</v>
      </c>
      <c r="Q55" s="118">
        <f>SUMIF(B$4:B$60,P55,F$4:F$60)</f>
        <v>2</v>
      </c>
      <c r="R55" s="118">
        <f>SUMIF(B$4:B$60,P55,H$4:H$60)</f>
        <v>99</v>
      </c>
      <c r="S55" s="117">
        <f>SUMIF($B$4:$B$60,$P55,I$4:I$60)</f>
        <v>2</v>
      </c>
      <c r="T55" s="118">
        <f>SUMIF($B$4:$B$60,$P55,A$4:A$60)</f>
        <v>3</v>
      </c>
      <c r="U55" s="118">
        <f t="shared" si="13"/>
        <v>0</v>
      </c>
      <c r="V55" s="118">
        <f t="shared" si="13"/>
        <v>0</v>
      </c>
      <c r="W55" s="118">
        <f>SUMIF($B$4:$B$60,$P55,J$4:J$60)</f>
        <v>19</v>
      </c>
      <c r="X55" s="118">
        <f>IF(Y55=0,T55,T55+AG55+AH55+AI55)</f>
        <v>3</v>
      </c>
      <c r="Y55" s="118">
        <f>IF(OR(AND(S54=S55,R54=R55,Q54=Q55),AND(S56=S55,S55=S54,R56=R55,R55=R54,Q56=Q55,Q55=Q54)),P55,0)</f>
        <v>0</v>
      </c>
      <c r="Z55" s="118">
        <f>SUMIF($AY$4:$AY$60,$Y55,$AX$4:$AX$60)+SUMIF($BB$4:$BB$60,$Y55,$AX$4:$AX$60)</f>
        <v>0</v>
      </c>
      <c r="AA55" s="118">
        <f>SUMIF($AZ$4:$AZ$60,$Y55,$AX$4:$AX$60)+SUMIF($BC$4:$BC$60,$Y55,$AX$4:$AX$60)</f>
        <v>0</v>
      </c>
      <c r="AB55" s="118">
        <f>SUMIF($BA$4:$BA$60,$Y55,$AX$4:$AX$60)+SUMIF($BD$4:$BD$60,$Y55,$AX$4:$AX$60)</f>
        <v>0</v>
      </c>
      <c r="AC55" s="118">
        <f>SUMIF(AY$4:AY$60,Y55,AS$4:AS$60)+SUMIF(BB$4:BB$60,Y55,AW$4:AW$60)+SUMIF(AZ$4:AZ$60,Y55,AS$4:AS$60)+SUMIF(BC$4:BC$60,Y55,AW$4:AW$60)</f>
        <v>0</v>
      </c>
      <c r="AD55" s="118">
        <f>SUMIF(BA$4:BA$60,Y55,AS$4:AS$60)+SUMIF(BD$4:BD$60,Y55,AW$4:AW$60)+SUMIF(AZ$4:AZ$60,Y55,AS$4:AS$60)+SUMIF(BC$4:BC$60,Y55,AW$4:AW$60)</f>
        <v>0</v>
      </c>
      <c r="AE55" s="118">
        <f>AC55-AD55+100</f>
        <v>100</v>
      </c>
      <c r="AF55" s="117" t="str">
        <f>IF(Y55&lt;&gt;0,Z55*3+AA55,"")</f>
        <v/>
      </c>
      <c r="AG55" s="118">
        <f>IF(Y55&lt;&gt;0,RANK(AF55,AF$53:AF$56)-1,5)</f>
        <v>5</v>
      </c>
      <c r="AH55" s="118">
        <f>IF(Y55&lt;&gt;0,SUMPRODUCT((AF$53:AF$56=AF55)*(AE$53:AE$56&gt;AE55)),5)</f>
        <v>5</v>
      </c>
      <c r="AI55" s="118">
        <f>IF(Y55&lt;&gt;0,SUMPRODUCT((AF$53:AF$56=AF55)*(AE$53:AE$56=AE55)*(AC$53:AC$56&gt;AC55)),5)</f>
        <v>5</v>
      </c>
      <c r="AJ55" s="118">
        <f>IF(Y55&lt;&gt;0,SUMPRODUCT(($AF53:$AF56=AF55)*($AE53:$AE56=AE55)*($AC53:$AC56=AC55)*($AK53:$AK56&lt;AK55)),5)</f>
        <v>5</v>
      </c>
      <c r="AK55" s="118">
        <f>IF(AL55=0,0,VLOOKUP(Y55,Tournament!AE$55:AF$58,2,FALSE))</f>
        <v>0</v>
      </c>
      <c r="AL55" s="118">
        <f>IF(Y55&lt;&gt;0,IF(OR(SUM(AG55:AI55)=SUM(AG54:AI54),SUM(AG55:AI55)=SUM(AG56:AI56)),1,0),0)</f>
        <v>0</v>
      </c>
      <c r="AM55" s="118">
        <f>IF(AN55&lt;&gt;0,AM54+1,AM54)</f>
        <v>0</v>
      </c>
      <c r="AN55" s="118">
        <f>IF(AL55=1,Y55,0)</f>
        <v>0</v>
      </c>
    </row>
    <row r="56" spans="1:61">
      <c r="A56" s="118">
        <f>K56+L56+M56+N56</f>
        <v>4</v>
      </c>
      <c r="B56" s="118" t="str">
        <f>Tournament!N29</f>
        <v>Dél-Kórea</v>
      </c>
      <c r="C56" s="118">
        <f>SUMIF(AP$4:AP$60,B56,AX$4:AX$60)+SUMIF(AT$4:AT$60,B56,AX$4:AX$60)</f>
        <v>0</v>
      </c>
      <c r="D56" s="118">
        <f>SUMIF(AQ$4:AQ$60,B56,AX$4:AX$60)+SUMIF(AU$4:AU$60,B56,AX$4:AX$60)</f>
        <v>1</v>
      </c>
      <c r="E56" s="118">
        <f>SUMIF(AR$4:AR$60,B56,AX$4:AX$60)+SUMIF(AV$4:AV$60,B56,AX$4:AX$60)</f>
        <v>2</v>
      </c>
      <c r="F56" s="118">
        <f>SUMIF($BF$3:$BF$60,B56,$BG$3:$BG$60)+SUMIF($BI$3:$BI$60,B56,$BH$3:$BH$60)</f>
        <v>3</v>
      </c>
      <c r="G56" s="118">
        <f>SUMIF($BI$3:$BI$60,B56,$BG$3:$BG$60)+SUMIF($BF$3:$BF$60,B56,$BH$3:$BH$60)</f>
        <v>6</v>
      </c>
      <c r="H56" s="118">
        <f>F56-G56+100</f>
        <v>97</v>
      </c>
      <c r="I56" s="117">
        <f>C56*3+D56</f>
        <v>1</v>
      </c>
      <c r="J56" s="118">
        <v>30</v>
      </c>
      <c r="K56" s="118">
        <f>RANK(I56,I$53:I$56)</f>
        <v>4</v>
      </c>
      <c r="L56" s="118">
        <f>SUMPRODUCT((I$53:I$56=I56)*(H$53:H$56&gt;H56))</f>
        <v>0</v>
      </c>
      <c r="M56" s="118">
        <f>SUMPRODUCT((I$53:I$56=I56)*(H$53:H$56=H56)*(F$53:F$56&gt;F56))</f>
        <v>0</v>
      </c>
      <c r="N56" s="118">
        <f>SUMPRODUCT((I$53:I$56=I56)*(H$53:H$56=H56)*(F$53:F$56=F56)*(J$53:J$56&lt;J56))</f>
        <v>0</v>
      </c>
      <c r="O56" s="118">
        <f>IF(SUM(AG53:AI56)=0,IF(COUNTIF(AJ53:AJ56,0)&gt;1,4,AJ56+1),IF(X56=X55,IF(X56=3,4,X56),IF(X56=5,3,IF(X56=6,4,X56))))</f>
        <v>4</v>
      </c>
      <c r="P56" s="118" t="str">
        <f>VLOOKUP(4,A$53:B$56,2,FALSE)</f>
        <v>Dél-Kórea</v>
      </c>
      <c r="Q56" s="118">
        <f>SUMIF(B$4:B$60,P56,F$4:F$60)</f>
        <v>3</v>
      </c>
      <c r="R56" s="118">
        <f>SUMIF(B$4:B$60,P56,H$4:H$60)</f>
        <v>97</v>
      </c>
      <c r="S56" s="117">
        <f>SUMIF($B$4:$B$60,$P56,I$4:I$60)</f>
        <v>1</v>
      </c>
      <c r="T56" s="118">
        <f>SUMIF($B$4:$B$60,$P56,A$4:A$60)</f>
        <v>4</v>
      </c>
      <c r="U56" s="118">
        <f t="shared" si="13"/>
        <v>0</v>
      </c>
      <c r="V56" s="118">
        <f t="shared" si="13"/>
        <v>0</v>
      </c>
      <c r="W56" s="118">
        <f>SUMIF($B$4:$B$60,$P56,J$4:J$60)</f>
        <v>30</v>
      </c>
      <c r="X56" s="118">
        <f>IF(Y56=0,T56,T56+AG56+AH56+AI56)</f>
        <v>4</v>
      </c>
      <c r="Y56" s="118">
        <f>IF(AND(S55=S56,S55=S54,R55=R56,R55=R54,Q55=Q56,Q55=Q54),P56,0)</f>
        <v>0</v>
      </c>
      <c r="Z56" s="118">
        <f>SUMIF($AY$4:$AY$60,$Y56,$AX$4:$AX$60)+SUMIF($BB$4:$BB$60,$Y56,$AX$4:$AX$60)</f>
        <v>0</v>
      </c>
      <c r="AA56" s="118">
        <f>SUMIF($AZ$4:$AZ$60,$Y56,$AX$4:$AX$60)+SUMIF($BC$4:$BC$60,$Y56,$AX$4:$AX$60)</f>
        <v>0</v>
      </c>
      <c r="AB56" s="118">
        <f>SUMIF($BA$4:$BA$60,$Y56,$AX$4:$AX$60)+SUMIF($BD$4:$BD$60,$Y56,$AX$4:$AX$60)</f>
        <v>0</v>
      </c>
      <c r="AC56" s="118">
        <f>SUMIF(AY$4:AY$60,Y56,AS$4:AS$60)+SUMIF(BB$4:BB$60,Y56,AW$4:AW$60)+SUMIF(AZ$4:AZ$60,Y56,AS$4:AS$60)+SUMIF(BC$4:BC$60,Y56,AW$4:AW$60)</f>
        <v>0</v>
      </c>
      <c r="AD56" s="118">
        <f>SUMIF(BA$4:BA$60,Y56,AS$4:AS$60)+SUMIF(BD$4:BD$60,Y56,AW$4:AW$60)+SUMIF(AZ$4:AZ$60,Y56,AS$4:AS$60)+SUMIF(BC$4:BC$60,Y56,AW$4:AW$60)</f>
        <v>0</v>
      </c>
      <c r="AE56" s="118">
        <f>AC56-AD56+100</f>
        <v>100</v>
      </c>
      <c r="AF56" s="117" t="str">
        <f>IF(Y56&lt;&gt;0,Z56*3+AA56,"")</f>
        <v/>
      </c>
      <c r="AG56" s="118">
        <f>IF(Y56&lt;&gt;0,RANK(AF56,AF$53:AF$56)-1,5)</f>
        <v>5</v>
      </c>
      <c r="AH56" s="118">
        <f>IF(Y56&lt;&gt;0,SUMPRODUCT((AF$53:AF$56=AF56)*(AE$53:AE$56&gt;AE56)),5)</f>
        <v>5</v>
      </c>
      <c r="AI56" s="118">
        <f>IF(Y56&lt;&gt;0,SUMPRODUCT((AF$53:AF$56=AF56)*(AE$53:AE$56=AE56)*(AC$53:AC$56&gt;AC56)),5)</f>
        <v>5</v>
      </c>
      <c r="AJ56" s="118">
        <f>IF(Y56&lt;&gt;0,SUMPRODUCT(($AF53:$AF56=AF56)*($AE53:$AE56=AE56)*($AC53:$AC56=AC56)*($AK53:$AK56&lt;AK56)),5)</f>
        <v>5</v>
      </c>
      <c r="AK56" s="118">
        <f>IF(AL56=0,0,VLOOKUP(Y56,Tournament!AE$55:AF$58,2,FALSE))</f>
        <v>0</v>
      </c>
      <c r="AL56" s="118">
        <f>IF(Y56&lt;&gt;0,IF(SUM(AG56:AI56)=SUM(AG55:AI55),1,0),0)</f>
        <v>0</v>
      </c>
      <c r="AM56" s="118">
        <f>IF(AN56&lt;&gt;0,AM55+1,AM55)</f>
        <v>0</v>
      </c>
      <c r="AN56" s="118">
        <f>IF(AL56=1,Y56,0)</f>
        <v>0</v>
      </c>
    </row>
  </sheetData>
  <sheetProtection password="CEE2" sheet="1" objects="1" scenarios="1" selectLockedCells="1" selectUnlockedCells="1"/>
  <phoneticPr fontId="1"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showGridLines="0" workbookViewId="0">
      <pane xSplit="2" ySplit="2" topLeftCell="AK3" activePane="bottomRight" state="frozen"/>
      <selection pane="topRight" activeCell="C1" sqref="C1"/>
      <selection pane="bottomLeft" activeCell="A3" sqref="A3"/>
      <selection pane="bottomRight" sqref="A1:XFD1048576"/>
    </sheetView>
  </sheetViews>
  <sheetFormatPr defaultColWidth="9.140625" defaultRowHeight="12.75"/>
  <cols>
    <col min="1" max="1" width="4" style="102" bestFit="1" customWidth="1"/>
    <col min="2" max="2" width="15" style="102" customWidth="1"/>
    <col min="3" max="48" width="12.7109375" style="102" customWidth="1"/>
    <col min="49" max="49" width="9.140625" style="102"/>
    <col min="50" max="50" width="9.140625" style="103"/>
    <col min="51" max="16384" width="9.140625" style="102"/>
  </cols>
  <sheetData>
    <row r="1" spans="1:59">
      <c r="A1" s="102">
        <v>1</v>
      </c>
      <c r="B1" s="102" t="s">
        <v>2221</v>
      </c>
      <c r="C1" s="102" t="s">
        <v>418</v>
      </c>
      <c r="D1" s="102" t="s">
        <v>110</v>
      </c>
      <c r="E1" s="102" t="s">
        <v>207</v>
      </c>
      <c r="F1" s="102" t="s">
        <v>119</v>
      </c>
      <c r="G1" s="102" t="s">
        <v>56</v>
      </c>
      <c r="H1" s="102" t="s">
        <v>23</v>
      </c>
      <c r="I1" s="102" t="s">
        <v>24</v>
      </c>
      <c r="J1" s="102" t="s">
        <v>189</v>
      </c>
      <c r="K1" s="102" t="s">
        <v>80</v>
      </c>
      <c r="L1" s="102" t="s">
        <v>75</v>
      </c>
      <c r="M1" s="102" t="s">
        <v>2201</v>
      </c>
      <c r="N1" s="102" t="s">
        <v>100</v>
      </c>
      <c r="O1" s="102" t="s">
        <v>17</v>
      </c>
      <c r="P1" s="102" t="s">
        <v>25</v>
      </c>
      <c r="Q1" s="102" t="s">
        <v>1719</v>
      </c>
      <c r="R1" s="102" t="s">
        <v>126</v>
      </c>
      <c r="S1" s="102" t="s">
        <v>1358</v>
      </c>
      <c r="T1" s="102" t="s">
        <v>65</v>
      </c>
      <c r="U1" s="102" t="s">
        <v>1068</v>
      </c>
      <c r="V1" s="102" t="s">
        <v>3361</v>
      </c>
      <c r="W1" s="102" t="s">
        <v>29</v>
      </c>
      <c r="X1" s="102" t="s">
        <v>1163</v>
      </c>
      <c r="Y1" s="102" t="s">
        <v>1164</v>
      </c>
      <c r="Z1" s="102" t="s">
        <v>43</v>
      </c>
      <c r="AA1" s="102" t="s">
        <v>2507</v>
      </c>
      <c r="AB1" s="102" t="s">
        <v>200</v>
      </c>
      <c r="AC1" s="102" t="s">
        <v>2645</v>
      </c>
      <c r="AD1" s="102" t="s">
        <v>86</v>
      </c>
      <c r="AE1" s="102" t="s">
        <v>18</v>
      </c>
      <c r="AF1" s="102" t="s">
        <v>1720</v>
      </c>
      <c r="AG1" s="102" t="s">
        <v>1721</v>
      </c>
      <c r="AH1" s="102" t="s">
        <v>42</v>
      </c>
      <c r="AI1" s="102" t="s">
        <v>21</v>
      </c>
      <c r="AJ1" s="102" t="s">
        <v>22</v>
      </c>
      <c r="AK1" s="102" t="s">
        <v>67</v>
      </c>
      <c r="AL1" s="102" t="s">
        <v>128</v>
      </c>
      <c r="AM1" s="102" t="s">
        <v>109</v>
      </c>
      <c r="AN1" s="102" t="s">
        <v>1722</v>
      </c>
      <c r="AO1" s="102" t="s">
        <v>93</v>
      </c>
      <c r="AP1" s="102" t="s">
        <v>14</v>
      </c>
      <c r="AQ1" s="102" t="s">
        <v>20</v>
      </c>
      <c r="AR1" s="102" t="s">
        <v>1699</v>
      </c>
      <c r="AS1" s="102" t="s">
        <v>2962</v>
      </c>
      <c r="AT1" s="102" t="s">
        <v>183</v>
      </c>
      <c r="AU1" s="102" t="s">
        <v>19</v>
      </c>
      <c r="AV1" s="102" t="s">
        <v>196</v>
      </c>
    </row>
    <row r="2" spans="1:59">
      <c r="A2" s="102">
        <v>1</v>
      </c>
      <c r="B2" s="102">
        <v>2</v>
      </c>
      <c r="C2" s="102">
        <f>B2+1</f>
        <v>3</v>
      </c>
      <c r="D2" s="102">
        <f>C2+1</f>
        <v>4</v>
      </c>
      <c r="E2" s="102">
        <f>D2+1</f>
        <v>5</v>
      </c>
      <c r="F2" s="102">
        <f t="shared" ref="F2:AV2" si="0">E2+1</f>
        <v>6</v>
      </c>
      <c r="G2" s="102">
        <f t="shared" si="0"/>
        <v>7</v>
      </c>
      <c r="H2" s="102">
        <f t="shared" si="0"/>
        <v>8</v>
      </c>
      <c r="I2" s="102">
        <f t="shared" si="0"/>
        <v>9</v>
      </c>
      <c r="J2" s="102">
        <f t="shared" si="0"/>
        <v>10</v>
      </c>
      <c r="K2" s="102">
        <f t="shared" si="0"/>
        <v>11</v>
      </c>
      <c r="L2" s="102">
        <f t="shared" si="0"/>
        <v>12</v>
      </c>
      <c r="M2" s="102">
        <f t="shared" si="0"/>
        <v>13</v>
      </c>
      <c r="N2" s="102">
        <f t="shared" si="0"/>
        <v>14</v>
      </c>
      <c r="O2" s="102">
        <f t="shared" si="0"/>
        <v>15</v>
      </c>
      <c r="P2" s="102">
        <f t="shared" si="0"/>
        <v>16</v>
      </c>
      <c r="Q2" s="102">
        <f t="shared" si="0"/>
        <v>17</v>
      </c>
      <c r="R2" s="102">
        <f t="shared" si="0"/>
        <v>18</v>
      </c>
      <c r="S2" s="102">
        <f t="shared" si="0"/>
        <v>19</v>
      </c>
      <c r="T2" s="102">
        <f t="shared" si="0"/>
        <v>20</v>
      </c>
      <c r="U2" s="102">
        <f t="shared" si="0"/>
        <v>21</v>
      </c>
      <c r="V2" s="102">
        <f t="shared" si="0"/>
        <v>22</v>
      </c>
      <c r="W2" s="102">
        <f t="shared" si="0"/>
        <v>23</v>
      </c>
      <c r="X2" s="102">
        <f t="shared" si="0"/>
        <v>24</v>
      </c>
      <c r="Y2" s="102">
        <f t="shared" si="0"/>
        <v>25</v>
      </c>
      <c r="Z2" s="102">
        <f t="shared" si="0"/>
        <v>26</v>
      </c>
      <c r="AB2" s="102">
        <f>Z2+1</f>
        <v>27</v>
      </c>
      <c r="AD2" s="102">
        <f>AB2+1</f>
        <v>28</v>
      </c>
      <c r="AE2" s="102">
        <f t="shared" si="0"/>
        <v>29</v>
      </c>
      <c r="AF2" s="102">
        <f t="shared" si="0"/>
        <v>30</v>
      </c>
      <c r="AG2" s="102">
        <f t="shared" si="0"/>
        <v>31</v>
      </c>
      <c r="AH2" s="102">
        <f t="shared" si="0"/>
        <v>32</v>
      </c>
      <c r="AI2" s="102">
        <f t="shared" si="0"/>
        <v>33</v>
      </c>
      <c r="AJ2" s="102">
        <f t="shared" si="0"/>
        <v>34</v>
      </c>
      <c r="AK2" s="102">
        <f t="shared" si="0"/>
        <v>35</v>
      </c>
      <c r="AL2" s="102">
        <f t="shared" si="0"/>
        <v>36</v>
      </c>
      <c r="AM2" s="102">
        <f t="shared" si="0"/>
        <v>37</v>
      </c>
      <c r="AN2" s="102">
        <f t="shared" si="0"/>
        <v>38</v>
      </c>
      <c r="AO2" s="102">
        <f t="shared" si="0"/>
        <v>39</v>
      </c>
      <c r="AP2" s="102">
        <f t="shared" si="0"/>
        <v>40</v>
      </c>
      <c r="AQ2" s="102">
        <f t="shared" si="0"/>
        <v>41</v>
      </c>
      <c r="AR2" s="102">
        <f t="shared" si="0"/>
        <v>42</v>
      </c>
      <c r="AS2" s="102">
        <f t="shared" si="0"/>
        <v>43</v>
      </c>
      <c r="AT2" s="102">
        <f t="shared" si="0"/>
        <v>44</v>
      </c>
      <c r="AU2" s="102">
        <f t="shared" si="0"/>
        <v>45</v>
      </c>
      <c r="AV2" s="102">
        <f t="shared" si="0"/>
        <v>46</v>
      </c>
    </row>
    <row r="3" spans="1:59">
      <c r="A3" s="102">
        <v>2</v>
      </c>
      <c r="B3" s="104" t="s">
        <v>369</v>
      </c>
      <c r="C3" s="102" t="s">
        <v>429</v>
      </c>
      <c r="D3" s="102" t="s">
        <v>452</v>
      </c>
      <c r="E3" s="103" t="s">
        <v>468</v>
      </c>
      <c r="F3" s="102" t="s">
        <v>495</v>
      </c>
      <c r="G3" s="102" t="s">
        <v>379</v>
      </c>
      <c r="H3" s="105" t="s">
        <v>478</v>
      </c>
      <c r="I3" s="102" t="s">
        <v>478</v>
      </c>
      <c r="J3" s="102" t="s">
        <v>369</v>
      </c>
      <c r="K3" s="103" t="s">
        <v>616</v>
      </c>
      <c r="L3" s="102" t="s">
        <v>626</v>
      </c>
      <c r="M3" s="102" t="s">
        <v>369</v>
      </c>
      <c r="N3" s="103" t="s">
        <v>241</v>
      </c>
      <c r="O3" s="103" t="s">
        <v>2749</v>
      </c>
      <c r="P3" s="103" t="s">
        <v>3741</v>
      </c>
      <c r="Q3" s="103" t="s">
        <v>616</v>
      </c>
      <c r="R3" s="103" t="s">
        <v>2782</v>
      </c>
      <c r="S3" s="103" t="s">
        <v>1376</v>
      </c>
      <c r="T3" s="103" t="s">
        <v>2801</v>
      </c>
      <c r="U3" s="102" t="s">
        <v>379</v>
      </c>
      <c r="V3" s="103" t="s">
        <v>3373</v>
      </c>
      <c r="W3" s="103" t="s">
        <v>2811</v>
      </c>
      <c r="X3" s="102" t="s">
        <v>3048</v>
      </c>
      <c r="Y3" s="102" t="s">
        <v>1135</v>
      </c>
      <c r="Z3" s="102" t="s">
        <v>2828</v>
      </c>
      <c r="AA3" s="102" t="s">
        <v>3841</v>
      </c>
      <c r="AB3" s="103" t="s">
        <v>369</v>
      </c>
      <c r="AC3" s="103" t="s">
        <v>2663</v>
      </c>
      <c r="AD3" s="102" t="s">
        <v>2858</v>
      </c>
      <c r="AE3" s="103" t="s">
        <v>3841</v>
      </c>
      <c r="AF3" s="103" t="s">
        <v>379</v>
      </c>
      <c r="AG3" s="103" t="s">
        <v>3472</v>
      </c>
      <c r="AH3" s="103" t="s">
        <v>2878</v>
      </c>
      <c r="AI3" s="103" t="s">
        <v>379</v>
      </c>
      <c r="AJ3" s="103" t="s">
        <v>379</v>
      </c>
      <c r="AK3" s="103" t="s">
        <v>2895</v>
      </c>
      <c r="AL3" s="102" t="s">
        <v>495</v>
      </c>
      <c r="AM3" s="102" t="s">
        <v>2920</v>
      </c>
      <c r="AN3" s="103" t="s">
        <v>2801</v>
      </c>
      <c r="AO3" s="102" t="s">
        <v>2828</v>
      </c>
      <c r="AP3" s="106" t="s">
        <v>379</v>
      </c>
      <c r="AQ3" s="102" t="s">
        <v>379</v>
      </c>
      <c r="AR3" s="103" t="s">
        <v>616</v>
      </c>
      <c r="AS3" s="103" t="s">
        <v>3560</v>
      </c>
      <c r="AT3" s="103" t="s">
        <v>2985</v>
      </c>
      <c r="AU3" s="103" t="s">
        <v>872</v>
      </c>
      <c r="AV3" s="103" t="s">
        <v>948</v>
      </c>
    </row>
    <row r="4" spans="1:59">
      <c r="A4" s="102">
        <v>3</v>
      </c>
      <c r="B4" s="107" t="s">
        <v>4085</v>
      </c>
      <c r="C4" s="108" t="s">
        <v>4086</v>
      </c>
      <c r="D4" s="108" t="s">
        <v>4087</v>
      </c>
      <c r="E4" s="108" t="s">
        <v>4088</v>
      </c>
      <c r="F4" s="108" t="s">
        <v>4089</v>
      </c>
      <c r="G4" s="108" t="s">
        <v>4090</v>
      </c>
      <c r="H4" s="109" t="s">
        <v>4091</v>
      </c>
      <c r="I4" s="109" t="s">
        <v>4092</v>
      </c>
      <c r="J4" s="108" t="s">
        <v>4093</v>
      </c>
      <c r="K4" s="108" t="s">
        <v>4094</v>
      </c>
      <c r="L4" s="108" t="s">
        <v>4095</v>
      </c>
      <c r="M4" s="107" t="s">
        <v>4085</v>
      </c>
      <c r="N4" s="108" t="s">
        <v>4096</v>
      </c>
      <c r="O4" s="108" t="s">
        <v>4097</v>
      </c>
      <c r="P4" s="109" t="s">
        <v>4098</v>
      </c>
      <c r="Q4" s="108" t="s">
        <v>4094</v>
      </c>
      <c r="R4" s="108" t="s">
        <v>4099</v>
      </c>
      <c r="S4" s="109" t="s">
        <v>4100</v>
      </c>
      <c r="T4" s="108" t="s">
        <v>4101</v>
      </c>
      <c r="U4" s="108" t="s">
        <v>4102</v>
      </c>
      <c r="V4" s="109" t="s">
        <v>4103</v>
      </c>
      <c r="W4" s="108" t="s">
        <v>4104</v>
      </c>
      <c r="X4" s="109" t="s">
        <v>4105</v>
      </c>
      <c r="Y4" s="109" t="s">
        <v>4106</v>
      </c>
      <c r="Z4" s="108" t="s">
        <v>4107</v>
      </c>
      <c r="AA4" s="109" t="s">
        <v>4108</v>
      </c>
      <c r="AB4" s="108" t="s">
        <v>4085</v>
      </c>
      <c r="AC4" s="107" t="s">
        <v>4109</v>
      </c>
      <c r="AD4" s="108" t="s">
        <v>4110</v>
      </c>
      <c r="AE4" s="107" t="s">
        <v>4109</v>
      </c>
      <c r="AF4" s="109" t="s">
        <v>4096</v>
      </c>
      <c r="AG4" s="109" t="s">
        <v>4111</v>
      </c>
      <c r="AH4" s="108" t="s">
        <v>4112</v>
      </c>
      <c r="AI4" s="108" t="s">
        <v>4113</v>
      </c>
      <c r="AJ4" s="108" t="s">
        <v>4113</v>
      </c>
      <c r="AK4" s="108" t="s">
        <v>4085</v>
      </c>
      <c r="AL4" s="108" t="s">
        <v>4114</v>
      </c>
      <c r="AM4" s="108" t="s">
        <v>4108</v>
      </c>
      <c r="AN4" s="109" t="s">
        <v>4115</v>
      </c>
      <c r="AO4" s="108" t="s">
        <v>4116</v>
      </c>
      <c r="AP4" s="108" t="s">
        <v>4117</v>
      </c>
      <c r="AQ4" s="108" t="s">
        <v>4117</v>
      </c>
      <c r="AR4" s="109" t="s">
        <v>4118</v>
      </c>
      <c r="AS4" s="109" t="s">
        <v>4119</v>
      </c>
      <c r="AT4" s="108" t="s">
        <v>4120</v>
      </c>
      <c r="AU4" s="109" t="s">
        <v>4121</v>
      </c>
      <c r="AV4" s="108" t="s">
        <v>4085</v>
      </c>
    </row>
    <row r="5" spans="1:59">
      <c r="A5" s="102">
        <v>4</v>
      </c>
      <c r="B5" s="102" t="s">
        <v>357</v>
      </c>
      <c r="C5" s="102" t="s">
        <v>372</v>
      </c>
      <c r="D5" s="102" t="s">
        <v>372</v>
      </c>
      <c r="E5" s="103" t="s">
        <v>460</v>
      </c>
      <c r="F5" s="102" t="s">
        <v>483</v>
      </c>
      <c r="G5" s="102" t="s">
        <v>520</v>
      </c>
      <c r="H5" s="105" t="s">
        <v>475</v>
      </c>
      <c r="I5" s="102" t="s">
        <v>475</v>
      </c>
      <c r="J5" s="102" t="s">
        <v>372</v>
      </c>
      <c r="K5" s="103" t="s">
        <v>357</v>
      </c>
      <c r="L5" s="103" t="s">
        <v>357</v>
      </c>
      <c r="M5" s="102" t="s">
        <v>357</v>
      </c>
      <c r="N5" s="103" t="s">
        <v>372</v>
      </c>
      <c r="O5" s="103" t="s">
        <v>2742</v>
      </c>
      <c r="P5" s="103" t="s">
        <v>3724</v>
      </c>
      <c r="Q5" s="103" t="s">
        <v>2760</v>
      </c>
      <c r="R5" s="103" t="s">
        <v>2770</v>
      </c>
      <c r="S5" s="103" t="s">
        <v>1359</v>
      </c>
      <c r="T5" s="103" t="s">
        <v>2795</v>
      </c>
      <c r="U5" s="102" t="s">
        <v>372</v>
      </c>
      <c r="V5" s="103" t="s">
        <v>3362</v>
      </c>
      <c r="W5" s="103" t="s">
        <v>2807</v>
      </c>
      <c r="X5" s="102" t="s">
        <v>3032</v>
      </c>
      <c r="Y5" s="102" t="s">
        <v>1118</v>
      </c>
      <c r="Z5" s="102" t="s">
        <v>2819</v>
      </c>
      <c r="AA5" s="102" t="s">
        <v>483</v>
      </c>
      <c r="AB5" s="103" t="s">
        <v>357</v>
      </c>
      <c r="AC5" s="103" t="s">
        <v>2646</v>
      </c>
      <c r="AD5" s="102" t="s">
        <v>2849</v>
      </c>
      <c r="AE5" s="103" t="s">
        <v>3828</v>
      </c>
      <c r="AF5" s="103" t="s">
        <v>357</v>
      </c>
      <c r="AG5" s="103" t="s">
        <v>3455</v>
      </c>
      <c r="AH5" s="103" t="s">
        <v>2874</v>
      </c>
      <c r="AI5" s="103" t="s">
        <v>2882</v>
      </c>
      <c r="AJ5" s="103" t="s">
        <v>2882</v>
      </c>
      <c r="AK5" s="103" t="s">
        <v>2893</v>
      </c>
      <c r="AL5" s="102" t="s">
        <v>2898</v>
      </c>
      <c r="AM5" s="102" t="s">
        <v>483</v>
      </c>
      <c r="AN5" s="103" t="s">
        <v>2760</v>
      </c>
      <c r="AO5" s="102" t="s">
        <v>4274</v>
      </c>
      <c r="AP5" s="106" t="s">
        <v>2882</v>
      </c>
      <c r="AQ5" s="102" t="s">
        <v>2882</v>
      </c>
      <c r="AR5" s="103" t="s">
        <v>2760</v>
      </c>
      <c r="AS5" s="103" t="s">
        <v>3550</v>
      </c>
      <c r="AT5" s="103" t="s">
        <v>2819</v>
      </c>
      <c r="AU5" s="103" t="s">
        <v>2898</v>
      </c>
      <c r="AV5" s="103" t="s">
        <v>941</v>
      </c>
    </row>
    <row r="6" spans="1:59">
      <c r="A6" s="102">
        <v>5</v>
      </c>
      <c r="B6" s="104" t="s">
        <v>368</v>
      </c>
      <c r="C6" s="102" t="s">
        <v>428</v>
      </c>
      <c r="D6" s="102" t="s">
        <v>2581</v>
      </c>
      <c r="E6" s="103" t="s">
        <v>467</v>
      </c>
      <c r="F6" s="102" t="s">
        <v>494</v>
      </c>
      <c r="G6" s="102" t="s">
        <v>529</v>
      </c>
      <c r="H6" s="105" t="s">
        <v>1323</v>
      </c>
      <c r="I6" s="102" t="s">
        <v>558</v>
      </c>
      <c r="J6" s="102" t="s">
        <v>378</v>
      </c>
      <c r="K6" s="102" t="s">
        <v>368</v>
      </c>
      <c r="L6" s="102" t="s">
        <v>428</v>
      </c>
      <c r="M6" s="102" t="s">
        <v>368</v>
      </c>
      <c r="N6" s="103" t="s">
        <v>378</v>
      </c>
      <c r="O6" s="103" t="s">
        <v>615</v>
      </c>
      <c r="P6" s="103" t="s">
        <v>3739</v>
      </c>
      <c r="Q6" s="103" t="s">
        <v>378</v>
      </c>
      <c r="R6" s="103" t="s">
        <v>2781</v>
      </c>
      <c r="S6" s="103" t="s">
        <v>1374</v>
      </c>
      <c r="T6" s="103" t="s">
        <v>378</v>
      </c>
      <c r="U6" s="102" t="s">
        <v>378</v>
      </c>
      <c r="V6" s="103" t="s">
        <v>3371</v>
      </c>
      <c r="W6" s="103" t="s">
        <v>529</v>
      </c>
      <c r="X6" s="102" t="s">
        <v>3046</v>
      </c>
      <c r="Y6" s="102" t="s">
        <v>1133</v>
      </c>
      <c r="Z6" s="102" t="s">
        <v>2827</v>
      </c>
      <c r="AA6" s="102" t="s">
        <v>494</v>
      </c>
      <c r="AB6" s="103" t="s">
        <v>368</v>
      </c>
      <c r="AC6" s="103" t="s">
        <v>2661</v>
      </c>
      <c r="AD6" s="102" t="s">
        <v>378</v>
      </c>
      <c r="AE6" s="103" t="s">
        <v>494</v>
      </c>
      <c r="AF6" s="103" t="s">
        <v>378</v>
      </c>
      <c r="AG6" s="103" t="s">
        <v>3470</v>
      </c>
      <c r="AH6" s="103" t="s">
        <v>378</v>
      </c>
      <c r="AI6" s="103" t="s">
        <v>2889</v>
      </c>
      <c r="AJ6" s="103" t="s">
        <v>2889</v>
      </c>
      <c r="AK6" s="103" t="s">
        <v>529</v>
      </c>
      <c r="AL6" s="102" t="s">
        <v>494</v>
      </c>
      <c r="AM6" s="102" t="s">
        <v>494</v>
      </c>
      <c r="AN6" s="103" t="s">
        <v>378</v>
      </c>
      <c r="AO6" s="102" t="s">
        <v>378</v>
      </c>
      <c r="AP6" s="106" t="s">
        <v>2966</v>
      </c>
      <c r="AQ6" s="102" t="s">
        <v>2966</v>
      </c>
      <c r="AR6" s="103" t="s">
        <v>378</v>
      </c>
      <c r="AS6" s="103" t="s">
        <v>3558</v>
      </c>
      <c r="AT6" s="103" t="s">
        <v>378</v>
      </c>
      <c r="AU6" s="103" t="s">
        <v>494</v>
      </c>
      <c r="AV6" s="103" t="s">
        <v>947</v>
      </c>
    </row>
    <row r="7" spans="1:59">
      <c r="A7" s="102">
        <v>6</v>
      </c>
      <c r="B7" s="104" t="s">
        <v>2185</v>
      </c>
      <c r="C7" s="102" t="s">
        <v>74</v>
      </c>
      <c r="D7" s="102" t="s">
        <v>85</v>
      </c>
      <c r="E7" s="103" t="s">
        <v>2402</v>
      </c>
      <c r="F7" s="102" t="s">
        <v>118</v>
      </c>
      <c r="G7" s="102" t="s">
        <v>55</v>
      </c>
      <c r="H7" s="105" t="s">
        <v>211</v>
      </c>
      <c r="I7" s="102" t="s">
        <v>211</v>
      </c>
      <c r="J7" s="102" t="s">
        <v>188</v>
      </c>
      <c r="K7" s="103" t="s">
        <v>7</v>
      </c>
      <c r="L7" s="102" t="s">
        <v>74</v>
      </c>
      <c r="M7" s="102" t="s">
        <v>2185</v>
      </c>
      <c r="N7" s="103" t="s">
        <v>99</v>
      </c>
      <c r="O7" s="103" t="s">
        <v>1</v>
      </c>
      <c r="P7" s="103" t="s">
        <v>3744</v>
      </c>
      <c r="Q7" s="103" t="s">
        <v>7</v>
      </c>
      <c r="R7" s="103" t="s">
        <v>125</v>
      </c>
      <c r="S7" s="103" t="s">
        <v>1379</v>
      </c>
      <c r="T7" s="103" t="s">
        <v>64</v>
      </c>
      <c r="U7" s="102" t="s">
        <v>2206</v>
      </c>
      <c r="V7" s="103" t="s">
        <v>3376</v>
      </c>
      <c r="W7" s="103" t="s">
        <v>28</v>
      </c>
      <c r="X7" s="102" t="s">
        <v>3051</v>
      </c>
      <c r="Y7" s="102" t="s">
        <v>1138</v>
      </c>
      <c r="Z7" s="102" t="s">
        <v>50</v>
      </c>
      <c r="AA7" s="102" t="s">
        <v>108</v>
      </c>
      <c r="AB7" s="103" t="s">
        <v>199</v>
      </c>
      <c r="AC7" s="103" t="s">
        <v>2666</v>
      </c>
      <c r="AD7" s="102" t="s">
        <v>85</v>
      </c>
      <c r="AE7" s="103" t="s">
        <v>3844</v>
      </c>
      <c r="AF7" s="103" t="s">
        <v>66</v>
      </c>
      <c r="AG7" s="103" t="s">
        <v>3475</v>
      </c>
      <c r="AH7" s="103" t="s">
        <v>41</v>
      </c>
      <c r="AI7" s="103" t="s">
        <v>34</v>
      </c>
      <c r="AJ7" s="103" t="s">
        <v>34</v>
      </c>
      <c r="AK7" s="103" t="s">
        <v>66</v>
      </c>
      <c r="AL7" s="102" t="s">
        <v>118</v>
      </c>
      <c r="AM7" s="102" t="s">
        <v>108</v>
      </c>
      <c r="AN7" s="103" t="s">
        <v>3212</v>
      </c>
      <c r="AO7" s="102" t="s">
        <v>92</v>
      </c>
      <c r="AP7" s="106" t="s">
        <v>13</v>
      </c>
      <c r="AQ7" s="102" t="s">
        <v>13</v>
      </c>
      <c r="AR7" s="103" t="s">
        <v>7</v>
      </c>
      <c r="AS7" s="103" t="s">
        <v>3563</v>
      </c>
      <c r="AT7" s="103" t="s">
        <v>182</v>
      </c>
      <c r="AU7" s="103" t="s">
        <v>875</v>
      </c>
      <c r="AV7" s="103" t="s">
        <v>195</v>
      </c>
      <c r="BG7" s="110"/>
    </row>
    <row r="8" spans="1:59">
      <c r="A8" s="102">
        <v>7</v>
      </c>
      <c r="B8" s="102" t="s">
        <v>2184</v>
      </c>
      <c r="C8" s="102" t="s">
        <v>71</v>
      </c>
      <c r="D8" s="102" t="s">
        <v>10</v>
      </c>
      <c r="E8" s="103" t="s">
        <v>204</v>
      </c>
      <c r="F8" s="102" t="s">
        <v>115</v>
      </c>
      <c r="G8" s="102" t="s">
        <v>527</v>
      </c>
      <c r="H8" s="105" t="s">
        <v>1322</v>
      </c>
      <c r="I8" s="102" t="s">
        <v>557</v>
      </c>
      <c r="J8" s="102" t="s">
        <v>90</v>
      </c>
      <c r="K8" s="103" t="s">
        <v>77</v>
      </c>
      <c r="L8" s="102" t="s">
        <v>71</v>
      </c>
      <c r="M8" s="102" t="s">
        <v>2184</v>
      </c>
      <c r="N8" s="103" t="s">
        <v>633</v>
      </c>
      <c r="O8" s="103" t="s">
        <v>2212</v>
      </c>
      <c r="P8" s="103" t="s">
        <v>3737</v>
      </c>
      <c r="Q8" s="103" t="s">
        <v>2763</v>
      </c>
      <c r="R8" s="103" t="s">
        <v>123</v>
      </c>
      <c r="S8" s="103" t="s">
        <v>1372</v>
      </c>
      <c r="T8" s="103" t="s">
        <v>61</v>
      </c>
      <c r="U8" s="102" t="s">
        <v>2203</v>
      </c>
      <c r="V8" s="103" t="s">
        <v>77</v>
      </c>
      <c r="W8" s="103" t="s">
        <v>27</v>
      </c>
      <c r="X8" s="102" t="s">
        <v>3045</v>
      </c>
      <c r="Y8" s="102" t="s">
        <v>1131</v>
      </c>
      <c r="Z8" s="102" t="s">
        <v>2825</v>
      </c>
      <c r="AA8" s="102" t="s">
        <v>105</v>
      </c>
      <c r="AB8" s="103" t="s">
        <v>2203</v>
      </c>
      <c r="AC8" s="103" t="s">
        <v>2659</v>
      </c>
      <c r="AD8" s="102" t="s">
        <v>27</v>
      </c>
      <c r="AE8" s="103" t="s">
        <v>3838</v>
      </c>
      <c r="AF8" s="103" t="s">
        <v>71</v>
      </c>
      <c r="AG8" s="103" t="s">
        <v>3468</v>
      </c>
      <c r="AH8" s="103" t="s">
        <v>38</v>
      </c>
      <c r="AI8" s="103" t="s">
        <v>10</v>
      </c>
      <c r="AJ8" s="103" t="s">
        <v>10</v>
      </c>
      <c r="AK8" s="103" t="s">
        <v>27</v>
      </c>
      <c r="AL8" s="102" t="s">
        <v>2902</v>
      </c>
      <c r="AM8" s="102" t="s">
        <v>105</v>
      </c>
      <c r="AN8" s="103" t="s">
        <v>3207</v>
      </c>
      <c r="AO8" s="102" t="s">
        <v>90</v>
      </c>
      <c r="AP8" s="106" t="s">
        <v>2964</v>
      </c>
      <c r="AQ8" s="102" t="s">
        <v>10</v>
      </c>
      <c r="AR8" s="103" t="s">
        <v>1702</v>
      </c>
      <c r="AS8" s="103" t="s">
        <v>2955</v>
      </c>
      <c r="AT8" s="103" t="s">
        <v>179</v>
      </c>
      <c r="AU8" s="103" t="s">
        <v>869</v>
      </c>
      <c r="AV8" s="111" t="s">
        <v>192</v>
      </c>
    </row>
    <row r="9" spans="1:59">
      <c r="A9" s="102">
        <v>8</v>
      </c>
      <c r="B9" s="104" t="s">
        <v>371</v>
      </c>
      <c r="C9" s="102" t="s">
        <v>432</v>
      </c>
      <c r="D9" s="102" t="s">
        <v>453</v>
      </c>
      <c r="E9" s="103" t="s">
        <v>2403</v>
      </c>
      <c r="F9" s="102" t="s">
        <v>498</v>
      </c>
      <c r="G9" s="102" t="s">
        <v>532</v>
      </c>
      <c r="H9" s="105" t="s">
        <v>480</v>
      </c>
      <c r="I9" s="102" t="s">
        <v>480</v>
      </c>
      <c r="J9" s="102" t="s">
        <v>586</v>
      </c>
      <c r="K9" s="103" t="s">
        <v>371</v>
      </c>
      <c r="L9" s="102" t="s">
        <v>432</v>
      </c>
      <c r="M9" s="102" t="s">
        <v>371</v>
      </c>
      <c r="N9" s="103" t="s">
        <v>371</v>
      </c>
      <c r="O9" s="103" t="s">
        <v>432</v>
      </c>
      <c r="P9" s="103" t="s">
        <v>3747</v>
      </c>
      <c r="Q9" s="103" t="s">
        <v>371</v>
      </c>
      <c r="R9" s="103" t="s">
        <v>2786</v>
      </c>
      <c r="S9" s="103" t="s">
        <v>1382</v>
      </c>
      <c r="T9" s="103" t="s">
        <v>371</v>
      </c>
      <c r="U9" s="102" t="s">
        <v>371</v>
      </c>
      <c r="V9" s="103" t="s">
        <v>371</v>
      </c>
      <c r="W9" s="103" t="s">
        <v>2813</v>
      </c>
      <c r="X9" s="102" t="s">
        <v>3054</v>
      </c>
      <c r="Y9" s="102" t="s">
        <v>1141</v>
      </c>
      <c r="Z9" s="102" t="s">
        <v>2831</v>
      </c>
      <c r="AA9" s="102" t="s">
        <v>2923</v>
      </c>
      <c r="AB9" s="103" t="s">
        <v>371</v>
      </c>
      <c r="AC9" s="103" t="s">
        <v>2669</v>
      </c>
      <c r="AD9" s="102" t="s">
        <v>2862</v>
      </c>
      <c r="AE9" s="103" t="s">
        <v>498</v>
      </c>
      <c r="AF9" s="103" t="s">
        <v>371</v>
      </c>
      <c r="AG9" s="103" t="s">
        <v>3477</v>
      </c>
      <c r="AH9" s="103" t="s">
        <v>371</v>
      </c>
      <c r="AI9" s="103" t="s">
        <v>371</v>
      </c>
      <c r="AJ9" s="103" t="s">
        <v>371</v>
      </c>
      <c r="AK9" s="103" t="s">
        <v>371</v>
      </c>
      <c r="AL9" s="102" t="s">
        <v>498</v>
      </c>
      <c r="AM9" s="102" t="s">
        <v>2923</v>
      </c>
      <c r="AN9" s="103" t="s">
        <v>586</v>
      </c>
      <c r="AO9" s="102" t="s">
        <v>586</v>
      </c>
      <c r="AP9" s="106" t="s">
        <v>371</v>
      </c>
      <c r="AQ9" s="102" t="s">
        <v>371</v>
      </c>
      <c r="AR9" s="102" t="s">
        <v>371</v>
      </c>
      <c r="AS9" s="103" t="s">
        <v>3565</v>
      </c>
      <c r="AT9" s="103" t="s">
        <v>2986</v>
      </c>
      <c r="AU9" s="103" t="s">
        <v>877</v>
      </c>
      <c r="AV9" s="103" t="s">
        <v>951</v>
      </c>
      <c r="BG9" s="110"/>
    </row>
    <row r="10" spans="1:59">
      <c r="A10" s="102">
        <v>9</v>
      </c>
      <c r="B10" s="102" t="s">
        <v>365</v>
      </c>
      <c r="C10" s="102" t="s">
        <v>427</v>
      </c>
      <c r="D10" s="102" t="s">
        <v>365</v>
      </c>
      <c r="E10" s="103" t="s">
        <v>2400</v>
      </c>
      <c r="F10" s="102" t="s">
        <v>491</v>
      </c>
      <c r="G10" s="102" t="s">
        <v>365</v>
      </c>
      <c r="H10" s="105" t="s">
        <v>1320</v>
      </c>
      <c r="I10" s="103" t="s">
        <v>1723</v>
      </c>
      <c r="J10" s="102" t="s">
        <v>583</v>
      </c>
      <c r="K10" s="103" t="s">
        <v>614</v>
      </c>
      <c r="L10" s="102" t="s">
        <v>427</v>
      </c>
      <c r="M10" s="102" t="s">
        <v>365</v>
      </c>
      <c r="N10" s="103" t="s">
        <v>365</v>
      </c>
      <c r="O10" s="103" t="s">
        <v>2747</v>
      </c>
      <c r="P10" s="103" t="s">
        <v>3735</v>
      </c>
      <c r="Q10" s="103" t="s">
        <v>614</v>
      </c>
      <c r="R10" s="103" t="s">
        <v>2778</v>
      </c>
      <c r="S10" s="103" t="s">
        <v>1370</v>
      </c>
      <c r="T10" s="103" t="s">
        <v>2798</v>
      </c>
      <c r="U10" s="102" t="s">
        <v>365</v>
      </c>
      <c r="V10" s="103" t="s">
        <v>3370</v>
      </c>
      <c r="W10" s="103" t="s">
        <v>451</v>
      </c>
      <c r="X10" s="102" t="s">
        <v>3043</v>
      </c>
      <c r="Y10" s="102" t="s">
        <v>1129</v>
      </c>
      <c r="Z10" s="102" t="s">
        <v>583</v>
      </c>
      <c r="AA10" s="102" t="s">
        <v>2513</v>
      </c>
      <c r="AB10" s="103" t="s">
        <v>365</v>
      </c>
      <c r="AC10" s="103" t="s">
        <v>2657</v>
      </c>
      <c r="AD10" s="102" t="s">
        <v>2856</v>
      </c>
      <c r="AE10" s="103" t="s">
        <v>3837</v>
      </c>
      <c r="AF10" s="103" t="s">
        <v>365</v>
      </c>
      <c r="AG10" s="103" t="s">
        <v>3466</v>
      </c>
      <c r="AH10" s="103" t="s">
        <v>365</v>
      </c>
      <c r="AI10" s="103" t="s">
        <v>2887</v>
      </c>
      <c r="AJ10" s="103" t="s">
        <v>3321</v>
      </c>
      <c r="AK10" s="102" t="s">
        <v>365</v>
      </c>
      <c r="AL10" s="102" t="s">
        <v>491</v>
      </c>
      <c r="AM10" s="102" t="s">
        <v>2918</v>
      </c>
      <c r="AN10" s="103" t="s">
        <v>2887</v>
      </c>
      <c r="AO10" s="102" t="s">
        <v>2943</v>
      </c>
      <c r="AP10" s="106" t="s">
        <v>365</v>
      </c>
      <c r="AQ10" s="102" t="s">
        <v>365</v>
      </c>
      <c r="AR10" s="102" t="s">
        <v>614</v>
      </c>
      <c r="AS10" s="103" t="s">
        <v>2953</v>
      </c>
      <c r="AT10" s="103" t="s">
        <v>2983</v>
      </c>
      <c r="AU10" s="103" t="s">
        <v>868</v>
      </c>
      <c r="AV10" s="103" t="s">
        <v>2996</v>
      </c>
    </row>
    <row r="11" spans="1:59" ht="15">
      <c r="A11" s="102">
        <v>10</v>
      </c>
      <c r="B11" s="104" t="s">
        <v>3857</v>
      </c>
      <c r="C11" s="109" t="s">
        <v>3857</v>
      </c>
      <c r="D11" s="109" t="s">
        <v>3978</v>
      </c>
      <c r="E11" s="109" t="s">
        <v>3979</v>
      </c>
      <c r="F11" s="109" t="s">
        <v>3980</v>
      </c>
      <c r="G11" s="109" t="s">
        <v>3981</v>
      </c>
      <c r="H11" s="109" t="s">
        <v>3982</v>
      </c>
      <c r="I11" s="109" t="s">
        <v>3983</v>
      </c>
      <c r="J11" s="109" t="s">
        <v>3984</v>
      </c>
      <c r="K11" s="109" t="s">
        <v>3857</v>
      </c>
      <c r="L11" s="109" t="s">
        <v>3857</v>
      </c>
      <c r="M11" s="112" t="s">
        <v>3857</v>
      </c>
      <c r="N11" s="109" t="s">
        <v>3985</v>
      </c>
      <c r="O11" s="109" t="s">
        <v>3986</v>
      </c>
      <c r="P11" s="109" t="s">
        <v>3987</v>
      </c>
      <c r="Q11" s="109" t="s">
        <v>3988</v>
      </c>
      <c r="R11" s="109" t="s">
        <v>3989</v>
      </c>
      <c r="S11" s="109" t="s">
        <v>3990</v>
      </c>
      <c r="T11" s="109" t="s">
        <v>3857</v>
      </c>
      <c r="U11" s="109" t="s">
        <v>3985</v>
      </c>
      <c r="V11" s="109" t="s">
        <v>3991</v>
      </c>
      <c r="W11" s="109" t="s">
        <v>3857</v>
      </c>
      <c r="X11" s="109" t="s">
        <v>3992</v>
      </c>
      <c r="Y11" s="109" t="s">
        <v>3993</v>
      </c>
      <c r="Z11" s="109" t="s">
        <v>3984</v>
      </c>
      <c r="AA11" s="109" t="s">
        <v>3994</v>
      </c>
      <c r="AB11" s="109" t="s">
        <v>3857</v>
      </c>
      <c r="AC11" s="112"/>
      <c r="AD11" s="109" t="s">
        <v>3995</v>
      </c>
      <c r="AE11" s="112"/>
      <c r="AF11" s="109" t="s">
        <v>3857</v>
      </c>
      <c r="AG11" s="109" t="s">
        <v>3996</v>
      </c>
      <c r="AH11" s="109" t="s">
        <v>3985</v>
      </c>
      <c r="AI11" s="109" t="s">
        <v>3997</v>
      </c>
      <c r="AJ11" s="109" t="s">
        <v>3997</v>
      </c>
      <c r="AK11" s="109" t="s">
        <v>3998</v>
      </c>
      <c r="AL11" s="109" t="s">
        <v>3980</v>
      </c>
      <c r="AM11" s="109" t="s">
        <v>3994</v>
      </c>
      <c r="AN11" s="109" t="s">
        <v>3999</v>
      </c>
      <c r="AO11" s="109" t="s">
        <v>3984</v>
      </c>
      <c r="AP11" s="109" t="s">
        <v>3857</v>
      </c>
      <c r="AQ11" s="109" t="s">
        <v>3857</v>
      </c>
      <c r="AR11" s="109" t="s">
        <v>3857</v>
      </c>
      <c r="AS11" s="109" t="s">
        <v>4000</v>
      </c>
      <c r="AT11" s="109" t="s">
        <v>4001</v>
      </c>
      <c r="AU11" s="109" t="s">
        <v>4002</v>
      </c>
      <c r="AV11" s="109" t="s">
        <v>3857</v>
      </c>
      <c r="BG11" s="110"/>
    </row>
    <row r="12" spans="1:59">
      <c r="A12" s="102">
        <v>11</v>
      </c>
      <c r="B12" s="102" t="s">
        <v>2186</v>
      </c>
      <c r="C12" s="102" t="s">
        <v>423</v>
      </c>
      <c r="D12" s="102" t="s">
        <v>2577</v>
      </c>
      <c r="E12" s="103" t="s">
        <v>206</v>
      </c>
      <c r="F12" s="102" t="s">
        <v>117</v>
      </c>
      <c r="G12" s="102" t="s">
        <v>54</v>
      </c>
      <c r="H12" s="105" t="s">
        <v>1315</v>
      </c>
      <c r="I12" s="102" t="s">
        <v>551</v>
      </c>
      <c r="J12" s="102" t="s">
        <v>187</v>
      </c>
      <c r="K12" s="103" t="s">
        <v>79</v>
      </c>
      <c r="L12" s="102" t="s">
        <v>73</v>
      </c>
      <c r="M12" s="102" t="s">
        <v>2186</v>
      </c>
      <c r="N12" s="103" t="s">
        <v>98</v>
      </c>
      <c r="O12" s="103" t="s">
        <v>0</v>
      </c>
      <c r="P12" s="103" t="s">
        <v>3730</v>
      </c>
      <c r="Q12" s="103" t="s">
        <v>6</v>
      </c>
      <c r="R12" s="103" t="s">
        <v>2774</v>
      </c>
      <c r="S12" s="103" t="s">
        <v>1365</v>
      </c>
      <c r="T12" s="103" t="s">
        <v>63</v>
      </c>
      <c r="U12" s="102" t="s">
        <v>2207</v>
      </c>
      <c r="V12" s="103" t="s">
        <v>3367</v>
      </c>
      <c r="W12" s="103" t="s">
        <v>12</v>
      </c>
      <c r="X12" s="102" t="s">
        <v>3038</v>
      </c>
      <c r="Y12" s="102" t="s">
        <v>1124</v>
      </c>
      <c r="Z12" s="102" t="s">
        <v>49</v>
      </c>
      <c r="AA12" s="102" t="s">
        <v>2510</v>
      </c>
      <c r="AB12" s="103" t="s">
        <v>2186</v>
      </c>
      <c r="AC12" s="103" t="s">
        <v>2652</v>
      </c>
      <c r="AD12" s="102" t="s">
        <v>84</v>
      </c>
      <c r="AE12" s="103" t="s">
        <v>3833</v>
      </c>
      <c r="AF12" s="103" t="s">
        <v>3270</v>
      </c>
      <c r="AG12" s="103" t="s">
        <v>3461</v>
      </c>
      <c r="AH12" s="103" t="s">
        <v>40</v>
      </c>
      <c r="AI12" s="103" t="s">
        <v>33</v>
      </c>
      <c r="AJ12" s="103" t="s">
        <v>33</v>
      </c>
      <c r="AK12" s="103" t="s">
        <v>12</v>
      </c>
      <c r="AL12" s="102" t="s">
        <v>127</v>
      </c>
      <c r="AM12" s="102" t="s">
        <v>107</v>
      </c>
      <c r="AN12" s="103" t="s">
        <v>3203</v>
      </c>
      <c r="AO12" s="102" t="s">
        <v>91</v>
      </c>
      <c r="AP12" s="106" t="s">
        <v>12</v>
      </c>
      <c r="AQ12" s="102" t="s">
        <v>12</v>
      </c>
      <c r="AR12" s="103" t="s">
        <v>1701</v>
      </c>
      <c r="AS12" s="103" t="s">
        <v>3553</v>
      </c>
      <c r="AT12" s="103" t="s">
        <v>181</v>
      </c>
      <c r="AU12" s="103" t="s">
        <v>865</v>
      </c>
      <c r="AV12" s="103" t="s">
        <v>194</v>
      </c>
      <c r="BG12" s="110"/>
    </row>
    <row r="13" spans="1:59">
      <c r="A13" s="102">
        <v>12</v>
      </c>
      <c r="B13" s="104" t="s">
        <v>1167</v>
      </c>
      <c r="C13" s="102" t="s">
        <v>430</v>
      </c>
      <c r="D13" s="102" t="s">
        <v>2582</v>
      </c>
      <c r="E13" s="103" t="s">
        <v>469</v>
      </c>
      <c r="F13" s="102" t="s">
        <v>496</v>
      </c>
      <c r="G13" s="102" t="s">
        <v>530</v>
      </c>
      <c r="H13" s="105" t="s">
        <v>1324</v>
      </c>
      <c r="I13" s="103" t="s">
        <v>1324</v>
      </c>
      <c r="J13" s="102" t="s">
        <v>585</v>
      </c>
      <c r="K13" s="103" t="s">
        <v>617</v>
      </c>
      <c r="L13" s="102" t="s">
        <v>627</v>
      </c>
      <c r="M13" s="102" t="s">
        <v>1167</v>
      </c>
      <c r="N13" s="103" t="s">
        <v>635</v>
      </c>
      <c r="O13" s="103" t="s">
        <v>2750</v>
      </c>
      <c r="P13" s="103" t="s">
        <v>3742</v>
      </c>
      <c r="Q13" s="103" t="s">
        <v>1052</v>
      </c>
      <c r="R13" s="103" t="s">
        <v>2783</v>
      </c>
      <c r="S13" s="103" t="s">
        <v>1377</v>
      </c>
      <c r="T13" s="103" t="s">
        <v>2802</v>
      </c>
      <c r="U13" s="102" t="s">
        <v>380</v>
      </c>
      <c r="V13" s="103" t="s">
        <v>3374</v>
      </c>
      <c r="W13" s="103" t="s">
        <v>2812</v>
      </c>
      <c r="X13" s="102" t="s">
        <v>3049</v>
      </c>
      <c r="Y13" s="102" t="s">
        <v>1136</v>
      </c>
      <c r="Z13" s="102" t="s">
        <v>2829</v>
      </c>
      <c r="AA13" s="102" t="s">
        <v>2515</v>
      </c>
      <c r="AB13" s="103" t="s">
        <v>1167</v>
      </c>
      <c r="AC13" s="103" t="s">
        <v>2664</v>
      </c>
      <c r="AD13" s="102" t="s">
        <v>2859</v>
      </c>
      <c r="AE13" s="103" t="s">
        <v>3842</v>
      </c>
      <c r="AF13" s="103" t="s">
        <v>617</v>
      </c>
      <c r="AG13" s="103" t="s">
        <v>3473</v>
      </c>
      <c r="AH13" s="103" t="s">
        <v>3103</v>
      </c>
      <c r="AI13" s="103" t="s">
        <v>2890</v>
      </c>
      <c r="AJ13" s="103" t="s">
        <v>2890</v>
      </c>
      <c r="AK13" s="103" t="s">
        <v>734</v>
      </c>
      <c r="AL13" s="102" t="s">
        <v>2903</v>
      </c>
      <c r="AM13" s="102" t="s">
        <v>2921</v>
      </c>
      <c r="AN13" s="103" t="s">
        <v>3210</v>
      </c>
      <c r="AO13" s="102" t="s">
        <v>4275</v>
      </c>
      <c r="AP13" s="106" t="s">
        <v>2967</v>
      </c>
      <c r="AQ13" s="102" t="s">
        <v>2967</v>
      </c>
      <c r="AR13" s="103" t="s">
        <v>1703</v>
      </c>
      <c r="AS13" s="113" t="s">
        <v>3561</v>
      </c>
      <c r="AT13" s="103" t="s">
        <v>2473</v>
      </c>
      <c r="AU13" s="103" t="s">
        <v>873</v>
      </c>
      <c r="AV13" s="103" t="s">
        <v>2999</v>
      </c>
    </row>
    <row r="14" spans="1:59">
      <c r="A14" s="102">
        <v>13</v>
      </c>
      <c r="B14" s="102" t="s">
        <v>367</v>
      </c>
      <c r="C14" s="102" t="s">
        <v>367</v>
      </c>
      <c r="D14" s="102" t="s">
        <v>2877</v>
      </c>
      <c r="E14" s="103" t="s">
        <v>466</v>
      </c>
      <c r="F14" s="102" t="s">
        <v>493</v>
      </c>
      <c r="G14" s="102" t="s">
        <v>528</v>
      </c>
      <c r="H14" s="105" t="s">
        <v>477</v>
      </c>
      <c r="I14" s="102" t="s">
        <v>477</v>
      </c>
      <c r="J14" s="102" t="s">
        <v>367</v>
      </c>
      <c r="K14" s="103" t="s">
        <v>367</v>
      </c>
      <c r="L14" s="102" t="s">
        <v>367</v>
      </c>
      <c r="M14" s="102" t="s">
        <v>367</v>
      </c>
      <c r="N14" s="103" t="s">
        <v>634</v>
      </c>
      <c r="O14" s="103" t="s">
        <v>2748</v>
      </c>
      <c r="P14" s="103" t="s">
        <v>3738</v>
      </c>
      <c r="Q14" s="103" t="s">
        <v>367</v>
      </c>
      <c r="R14" s="103" t="s">
        <v>2780</v>
      </c>
      <c r="S14" s="103" t="s">
        <v>1373</v>
      </c>
      <c r="T14" s="103" t="s">
        <v>2800</v>
      </c>
      <c r="U14" s="102" t="s">
        <v>377</v>
      </c>
      <c r="V14" s="103" t="s">
        <v>367</v>
      </c>
      <c r="W14" s="103" t="s">
        <v>2810</v>
      </c>
      <c r="X14" s="102" t="s">
        <v>477</v>
      </c>
      <c r="Y14" s="102" t="s">
        <v>1132</v>
      </c>
      <c r="Z14" s="102" t="s">
        <v>2826</v>
      </c>
      <c r="AA14" s="102" t="s">
        <v>2514</v>
      </c>
      <c r="AB14" s="103" t="s">
        <v>2847</v>
      </c>
      <c r="AC14" s="103" t="s">
        <v>2660</v>
      </c>
      <c r="AD14" s="102" t="s">
        <v>2857</v>
      </c>
      <c r="AE14" s="103" t="s">
        <v>3839</v>
      </c>
      <c r="AF14" s="103" t="s">
        <v>367</v>
      </c>
      <c r="AG14" s="103" t="s">
        <v>3469</v>
      </c>
      <c r="AH14" s="103" t="s">
        <v>2877</v>
      </c>
      <c r="AI14" s="103" t="s">
        <v>2888</v>
      </c>
      <c r="AJ14" s="103" t="s">
        <v>2888</v>
      </c>
      <c r="AK14" s="103" t="s">
        <v>2877</v>
      </c>
      <c r="AL14" s="102" t="s">
        <v>493</v>
      </c>
      <c r="AM14" s="102" t="s">
        <v>2919</v>
      </c>
      <c r="AN14" s="103" t="s">
        <v>3208</v>
      </c>
      <c r="AO14" s="102" t="s">
        <v>2944</v>
      </c>
      <c r="AP14" s="106" t="s">
        <v>2965</v>
      </c>
      <c r="AQ14" s="102" t="s">
        <v>2965</v>
      </c>
      <c r="AR14" s="102" t="s">
        <v>367</v>
      </c>
      <c r="AS14" s="103" t="s">
        <v>3557</v>
      </c>
      <c r="AT14" s="103" t="s">
        <v>2984</v>
      </c>
      <c r="AU14" s="103" t="s">
        <v>870</v>
      </c>
      <c r="AV14" s="103" t="s">
        <v>2997</v>
      </c>
      <c r="BG14" s="110"/>
    </row>
    <row r="15" spans="1:59">
      <c r="A15" s="102">
        <v>14</v>
      </c>
      <c r="B15" s="104" t="s">
        <v>358</v>
      </c>
      <c r="C15" s="102" t="s">
        <v>358</v>
      </c>
      <c r="D15" s="102" t="s">
        <v>521</v>
      </c>
      <c r="E15" s="103" t="s">
        <v>2397</v>
      </c>
      <c r="F15" s="102" t="s">
        <v>484</v>
      </c>
      <c r="G15" s="102" t="s">
        <v>521</v>
      </c>
      <c r="H15" s="105" t="s">
        <v>1311</v>
      </c>
      <c r="I15" s="102" t="s">
        <v>547</v>
      </c>
      <c r="J15" s="102" t="s">
        <v>578</v>
      </c>
      <c r="K15" s="102" t="s">
        <v>358</v>
      </c>
      <c r="L15" s="102" t="s">
        <v>358</v>
      </c>
      <c r="M15" s="102" t="s">
        <v>358</v>
      </c>
      <c r="N15" s="103" t="s">
        <v>358</v>
      </c>
      <c r="O15" s="103" t="s">
        <v>358</v>
      </c>
      <c r="P15" s="103" t="s">
        <v>3725</v>
      </c>
      <c r="Q15" s="103" t="s">
        <v>358</v>
      </c>
      <c r="R15" s="103" t="s">
        <v>2771</v>
      </c>
      <c r="S15" s="103" t="s">
        <v>1360</v>
      </c>
      <c r="T15" s="103" t="s">
        <v>450</v>
      </c>
      <c r="U15" s="102" t="s">
        <v>358</v>
      </c>
      <c r="V15" s="103" t="s">
        <v>3363</v>
      </c>
      <c r="W15" s="103" t="s">
        <v>358</v>
      </c>
      <c r="X15" s="102" t="s">
        <v>3033</v>
      </c>
      <c r="Y15" s="102" t="s">
        <v>1119</v>
      </c>
      <c r="Z15" s="102" t="s">
        <v>2820</v>
      </c>
      <c r="AA15" s="102" t="s">
        <v>2912</v>
      </c>
      <c r="AB15" s="103" t="s">
        <v>358</v>
      </c>
      <c r="AC15" s="103" t="s">
        <v>2647</v>
      </c>
      <c r="AD15" s="102" t="s">
        <v>2850</v>
      </c>
      <c r="AE15" s="103" t="s">
        <v>3829</v>
      </c>
      <c r="AF15" s="103" t="s">
        <v>358</v>
      </c>
      <c r="AG15" s="103" t="s">
        <v>3456</v>
      </c>
      <c r="AH15" s="103" t="s">
        <v>3099</v>
      </c>
      <c r="AI15" s="103" t="s">
        <v>521</v>
      </c>
      <c r="AJ15" s="103" t="s">
        <v>521</v>
      </c>
      <c r="AK15" s="103" t="s">
        <v>358</v>
      </c>
      <c r="AL15" s="102" t="s">
        <v>484</v>
      </c>
      <c r="AM15" s="102" t="s">
        <v>2912</v>
      </c>
      <c r="AN15" s="103" t="s">
        <v>450</v>
      </c>
      <c r="AO15" s="102" t="s">
        <v>578</v>
      </c>
      <c r="AP15" s="106" t="s">
        <v>358</v>
      </c>
      <c r="AQ15" s="102" t="s">
        <v>358</v>
      </c>
      <c r="AR15" s="102" t="s">
        <v>358</v>
      </c>
      <c r="AS15" s="103" t="s">
        <v>3551</v>
      </c>
      <c r="AT15" s="103" t="s">
        <v>358</v>
      </c>
      <c r="AU15" s="103" t="s">
        <v>484</v>
      </c>
      <c r="AV15" s="102" t="s">
        <v>358</v>
      </c>
      <c r="BG15" s="110"/>
    </row>
    <row r="16" spans="1:59" ht="15">
      <c r="A16" s="102">
        <v>15</v>
      </c>
      <c r="B16" s="112" t="s">
        <v>4051</v>
      </c>
      <c r="C16" s="109" t="s">
        <v>4051</v>
      </c>
      <c r="D16" s="109" t="s">
        <v>4052</v>
      </c>
      <c r="E16" s="109" t="s">
        <v>4053</v>
      </c>
      <c r="F16" s="109" t="s">
        <v>4051</v>
      </c>
      <c r="G16" s="109" t="s">
        <v>4051</v>
      </c>
      <c r="H16" s="109" t="s">
        <v>4054</v>
      </c>
      <c r="I16" s="109" t="s">
        <v>4055</v>
      </c>
      <c r="J16" s="109" t="s">
        <v>4056</v>
      </c>
      <c r="K16" s="109" t="s">
        <v>4051</v>
      </c>
      <c r="L16" s="109" t="s">
        <v>4051</v>
      </c>
      <c r="M16" s="112" t="s">
        <v>4051</v>
      </c>
      <c r="N16" s="109" t="s">
        <v>4051</v>
      </c>
      <c r="O16" s="109" t="s">
        <v>4051</v>
      </c>
      <c r="P16" s="109" t="s">
        <v>4057</v>
      </c>
      <c r="Q16" s="109" t="s">
        <v>4051</v>
      </c>
      <c r="R16" s="109" t="s">
        <v>4058</v>
      </c>
      <c r="S16" s="109" t="s">
        <v>4059</v>
      </c>
      <c r="T16" s="109" t="s">
        <v>4051</v>
      </c>
      <c r="U16" s="109" t="s">
        <v>4052</v>
      </c>
      <c r="V16" s="109" t="s">
        <v>4051</v>
      </c>
      <c r="W16" s="109" t="s">
        <v>4051</v>
      </c>
      <c r="X16" s="109" t="s">
        <v>4060</v>
      </c>
      <c r="Y16" s="109" t="s">
        <v>4061</v>
      </c>
      <c r="Z16" s="109" t="s">
        <v>4052</v>
      </c>
      <c r="AA16" s="109" t="s">
        <v>4062</v>
      </c>
      <c r="AB16" s="109" t="s">
        <v>4051</v>
      </c>
      <c r="AC16" s="112"/>
      <c r="AD16" s="109" t="s">
        <v>4051</v>
      </c>
      <c r="AE16" s="112"/>
      <c r="AF16" s="109" t="s">
        <v>4051</v>
      </c>
      <c r="AG16" s="109" t="s">
        <v>4063</v>
      </c>
      <c r="AH16" s="109" t="s">
        <v>4064</v>
      </c>
      <c r="AI16" s="109" t="s">
        <v>4051</v>
      </c>
      <c r="AJ16" s="109" t="s">
        <v>4051</v>
      </c>
      <c r="AK16" s="109" t="s">
        <v>4051</v>
      </c>
      <c r="AL16" s="109" t="s">
        <v>4065</v>
      </c>
      <c r="AM16" s="109" t="s">
        <v>4062</v>
      </c>
      <c r="AN16" s="109" t="s">
        <v>4056</v>
      </c>
      <c r="AO16" s="109" t="s">
        <v>4051</v>
      </c>
      <c r="AP16" s="109" t="s">
        <v>4051</v>
      </c>
      <c r="AQ16" s="109" t="s">
        <v>4051</v>
      </c>
      <c r="AR16" s="109" t="s">
        <v>4066</v>
      </c>
      <c r="AS16" s="109" t="s">
        <v>4067</v>
      </c>
      <c r="AT16" s="109" t="s">
        <v>4056</v>
      </c>
      <c r="AU16" s="109" t="s">
        <v>4068</v>
      </c>
      <c r="AV16" s="109" t="s">
        <v>4051</v>
      </c>
      <c r="BG16" s="110"/>
    </row>
    <row r="17" spans="1:59">
      <c r="A17" s="102">
        <v>16</v>
      </c>
      <c r="B17" s="102" t="s">
        <v>362</v>
      </c>
      <c r="C17" s="102" t="s">
        <v>424</v>
      </c>
      <c r="D17" s="102" t="s">
        <v>2876</v>
      </c>
      <c r="E17" s="103" t="s">
        <v>2398</v>
      </c>
      <c r="F17" s="102" t="s">
        <v>488</v>
      </c>
      <c r="G17" s="102" t="s">
        <v>524</v>
      </c>
      <c r="H17" s="105" t="s">
        <v>1316</v>
      </c>
      <c r="I17" s="102" t="s">
        <v>552</v>
      </c>
      <c r="J17" s="102" t="s">
        <v>581</v>
      </c>
      <c r="K17" s="103" t="s">
        <v>362</v>
      </c>
      <c r="L17" s="102" t="s">
        <v>424</v>
      </c>
      <c r="M17" s="102" t="s">
        <v>362</v>
      </c>
      <c r="N17" s="103" t="s">
        <v>632</v>
      </c>
      <c r="O17" s="103" t="s">
        <v>2745</v>
      </c>
      <c r="P17" s="103" t="s">
        <v>3731</v>
      </c>
      <c r="Q17" s="103" t="s">
        <v>362</v>
      </c>
      <c r="R17" s="103" t="s">
        <v>2775</v>
      </c>
      <c r="S17" s="103" t="s">
        <v>1366</v>
      </c>
      <c r="T17" s="103" t="s">
        <v>2876</v>
      </c>
      <c r="U17" s="102" t="s">
        <v>374</v>
      </c>
      <c r="V17" s="103" t="s">
        <v>362</v>
      </c>
      <c r="W17" s="103" t="s">
        <v>2808</v>
      </c>
      <c r="X17" s="102" t="s">
        <v>3039</v>
      </c>
      <c r="Y17" s="102" t="s">
        <v>1125</v>
      </c>
      <c r="Z17" s="102" t="s">
        <v>2822</v>
      </c>
      <c r="AA17" s="102" t="s">
        <v>2511</v>
      </c>
      <c r="AB17" s="103" t="s">
        <v>362</v>
      </c>
      <c r="AC17" s="103" t="s">
        <v>2653</v>
      </c>
      <c r="AD17" s="102" t="s">
        <v>2854</v>
      </c>
      <c r="AE17" s="103" t="s">
        <v>3834</v>
      </c>
      <c r="AF17" s="103" t="s">
        <v>362</v>
      </c>
      <c r="AG17" s="103" t="s">
        <v>3462</v>
      </c>
      <c r="AH17" s="103" t="s">
        <v>2876</v>
      </c>
      <c r="AI17" s="103" t="s">
        <v>2884</v>
      </c>
      <c r="AJ17" s="103" t="s">
        <v>2884</v>
      </c>
      <c r="AK17" s="103" t="s">
        <v>2876</v>
      </c>
      <c r="AL17" s="102" t="s">
        <v>488</v>
      </c>
      <c r="AM17" s="102" t="s">
        <v>2916</v>
      </c>
      <c r="AN17" s="103" t="s">
        <v>3204</v>
      </c>
      <c r="AO17" s="102" t="s">
        <v>2822</v>
      </c>
      <c r="AP17" s="106" t="s">
        <v>2884</v>
      </c>
      <c r="AQ17" s="102" t="s">
        <v>2884</v>
      </c>
      <c r="AR17" s="102" t="s">
        <v>362</v>
      </c>
      <c r="AS17" s="103" t="s">
        <v>3554</v>
      </c>
      <c r="AT17" s="103" t="s">
        <v>2472</v>
      </c>
      <c r="AU17" s="103" t="s">
        <v>866</v>
      </c>
      <c r="AV17" s="103" t="s">
        <v>2994</v>
      </c>
      <c r="BG17" s="110"/>
    </row>
    <row r="18" spans="1:59">
      <c r="A18" s="102">
        <v>17</v>
      </c>
      <c r="B18" s="104" t="s">
        <v>2187</v>
      </c>
      <c r="C18" s="102" t="s">
        <v>70</v>
      </c>
      <c r="D18" s="102" t="s">
        <v>2204</v>
      </c>
      <c r="E18" s="103" t="s">
        <v>2401</v>
      </c>
      <c r="F18" s="102" t="s">
        <v>114</v>
      </c>
      <c r="G18" s="102" t="s">
        <v>53</v>
      </c>
      <c r="H18" s="105" t="s">
        <v>210</v>
      </c>
      <c r="I18" s="102" t="s">
        <v>210</v>
      </c>
      <c r="J18" s="102" t="s">
        <v>47</v>
      </c>
      <c r="K18" s="103" t="s">
        <v>4</v>
      </c>
      <c r="L18" s="102" t="s">
        <v>70</v>
      </c>
      <c r="M18" s="102" t="s">
        <v>2187</v>
      </c>
      <c r="N18" s="103" t="s">
        <v>2204</v>
      </c>
      <c r="O18" s="103" t="s">
        <v>2211</v>
      </c>
      <c r="P18" s="103" t="s">
        <v>3740</v>
      </c>
      <c r="Q18" s="103" t="s">
        <v>4</v>
      </c>
      <c r="R18" s="103" t="s">
        <v>122</v>
      </c>
      <c r="S18" s="103" t="s">
        <v>1375</v>
      </c>
      <c r="T18" s="103" t="s">
        <v>60</v>
      </c>
      <c r="U18" s="102" t="s">
        <v>197</v>
      </c>
      <c r="V18" s="103" t="s">
        <v>3372</v>
      </c>
      <c r="W18" s="103" t="s">
        <v>2204</v>
      </c>
      <c r="X18" s="102" t="s">
        <v>3047</v>
      </c>
      <c r="Y18" s="102" t="s">
        <v>1134</v>
      </c>
      <c r="Z18" s="102" t="s">
        <v>47</v>
      </c>
      <c r="AA18" s="102" t="s">
        <v>104</v>
      </c>
      <c r="AB18" s="103" t="s">
        <v>197</v>
      </c>
      <c r="AC18" s="103" t="s">
        <v>2662</v>
      </c>
      <c r="AD18" s="102" t="s">
        <v>82</v>
      </c>
      <c r="AE18" s="103" t="s">
        <v>3840</v>
      </c>
      <c r="AF18" s="103" t="s">
        <v>2204</v>
      </c>
      <c r="AG18" s="103" t="s">
        <v>3471</v>
      </c>
      <c r="AH18" s="103" t="s">
        <v>3102</v>
      </c>
      <c r="AI18" s="103" t="s">
        <v>31</v>
      </c>
      <c r="AJ18" s="103" t="s">
        <v>31</v>
      </c>
      <c r="AK18" s="103" t="s">
        <v>2204</v>
      </c>
      <c r="AL18" s="102" t="s">
        <v>114</v>
      </c>
      <c r="AM18" s="102" t="s">
        <v>104</v>
      </c>
      <c r="AN18" s="103" t="s">
        <v>3209</v>
      </c>
      <c r="AO18" s="102" t="s">
        <v>47</v>
      </c>
      <c r="AP18" s="106" t="s">
        <v>2204</v>
      </c>
      <c r="AQ18" s="102" t="s">
        <v>2204</v>
      </c>
      <c r="AR18" s="103" t="s">
        <v>4</v>
      </c>
      <c r="AS18" s="103" t="s">
        <v>3559</v>
      </c>
      <c r="AT18" s="103" t="s">
        <v>132</v>
      </c>
      <c r="AU18" s="103" t="s">
        <v>871</v>
      </c>
      <c r="AV18" s="103" t="s">
        <v>2998</v>
      </c>
    </row>
    <row r="19" spans="1:59">
      <c r="A19" s="102">
        <v>18</v>
      </c>
      <c r="B19" s="104" t="s">
        <v>2181</v>
      </c>
      <c r="C19" s="102" t="s">
        <v>431</v>
      </c>
      <c r="D19" s="102" t="s">
        <v>2583</v>
      </c>
      <c r="E19" s="103" t="s">
        <v>201</v>
      </c>
      <c r="F19" s="102" t="s">
        <v>111</v>
      </c>
      <c r="G19" s="102" t="s">
        <v>51</v>
      </c>
      <c r="H19" s="105" t="s">
        <v>208</v>
      </c>
      <c r="I19" s="102" t="s">
        <v>208</v>
      </c>
      <c r="J19" s="102" t="s">
        <v>184</v>
      </c>
      <c r="K19" s="103" t="s">
        <v>2</v>
      </c>
      <c r="L19" s="102" t="s">
        <v>68</v>
      </c>
      <c r="M19" s="102" t="s">
        <v>2181</v>
      </c>
      <c r="N19" s="103" t="s">
        <v>94</v>
      </c>
      <c r="O19" s="103" t="s">
        <v>2209</v>
      </c>
      <c r="P19" s="103" t="s">
        <v>3745</v>
      </c>
      <c r="Q19" s="103" t="s">
        <v>2</v>
      </c>
      <c r="R19" s="103" t="s">
        <v>120</v>
      </c>
      <c r="S19" s="103" t="s">
        <v>1380</v>
      </c>
      <c r="T19" s="103" t="s">
        <v>57</v>
      </c>
      <c r="U19" s="102" t="s">
        <v>2200</v>
      </c>
      <c r="V19" s="103" t="s">
        <v>3377</v>
      </c>
      <c r="W19" s="103" t="s">
        <v>15</v>
      </c>
      <c r="X19" s="102" t="s">
        <v>3052</v>
      </c>
      <c r="Y19" s="102" t="s">
        <v>1139</v>
      </c>
      <c r="Z19" s="102" t="s">
        <v>44</v>
      </c>
      <c r="AA19" s="102" t="s">
        <v>2516</v>
      </c>
      <c r="AB19" s="103" t="s">
        <v>2181</v>
      </c>
      <c r="AC19" s="103" t="s">
        <v>2667</v>
      </c>
      <c r="AD19" s="102" t="s">
        <v>15</v>
      </c>
      <c r="AE19" s="103" t="s">
        <v>3845</v>
      </c>
      <c r="AF19" s="103" t="s">
        <v>3271</v>
      </c>
      <c r="AG19" s="103" t="s">
        <v>3476</v>
      </c>
      <c r="AH19" s="103" t="s">
        <v>35</v>
      </c>
      <c r="AI19" s="103" t="s">
        <v>1259</v>
      </c>
      <c r="AJ19" s="103" t="s">
        <v>1259</v>
      </c>
      <c r="AK19" s="103" t="s">
        <v>735</v>
      </c>
      <c r="AL19" s="102" t="s">
        <v>111</v>
      </c>
      <c r="AM19" s="102" t="s">
        <v>101</v>
      </c>
      <c r="AN19" s="103" t="s">
        <v>3213</v>
      </c>
      <c r="AO19" s="102" t="s">
        <v>87</v>
      </c>
      <c r="AP19" s="106" t="s">
        <v>8</v>
      </c>
      <c r="AQ19" s="102" t="s">
        <v>8</v>
      </c>
      <c r="AR19" s="103" t="s">
        <v>2</v>
      </c>
      <c r="AS19" s="103" t="s">
        <v>3564</v>
      </c>
      <c r="AT19" s="103" t="s">
        <v>129</v>
      </c>
      <c r="AU19" s="103" t="s">
        <v>876</v>
      </c>
      <c r="AV19" s="103" t="s">
        <v>949</v>
      </c>
      <c r="BG19" s="110"/>
    </row>
    <row r="20" spans="1:59" ht="15">
      <c r="A20" s="102">
        <v>19</v>
      </c>
      <c r="B20" s="104" t="s">
        <v>3858</v>
      </c>
      <c r="C20" s="109" t="s">
        <v>3858</v>
      </c>
      <c r="D20" s="109" t="s">
        <v>4031</v>
      </c>
      <c r="E20" s="109" t="s">
        <v>4032</v>
      </c>
      <c r="F20" s="109" t="s">
        <v>4033</v>
      </c>
      <c r="G20" s="109" t="s">
        <v>4034</v>
      </c>
      <c r="H20" s="109" t="s">
        <v>4035</v>
      </c>
      <c r="I20" s="109" t="s">
        <v>4036</v>
      </c>
      <c r="J20" s="109" t="s">
        <v>4037</v>
      </c>
      <c r="K20" s="109" t="s">
        <v>3858</v>
      </c>
      <c r="L20" s="109" t="s">
        <v>3858</v>
      </c>
      <c r="M20" s="112" t="s">
        <v>3858</v>
      </c>
      <c r="N20" s="109" t="s">
        <v>3858</v>
      </c>
      <c r="O20" s="109" t="s">
        <v>4038</v>
      </c>
      <c r="P20" s="109" t="s">
        <v>4039</v>
      </c>
      <c r="Q20" s="109" t="s">
        <v>3858</v>
      </c>
      <c r="R20" s="109" t="s">
        <v>4040</v>
      </c>
      <c r="S20" s="109" t="s">
        <v>4041</v>
      </c>
      <c r="T20" s="109" t="s">
        <v>3858</v>
      </c>
      <c r="U20" s="109" t="s">
        <v>4031</v>
      </c>
      <c r="V20" s="109" t="s">
        <v>3858</v>
      </c>
      <c r="W20" s="109" t="s">
        <v>3858</v>
      </c>
      <c r="X20" s="109" t="s">
        <v>4042</v>
      </c>
      <c r="Y20" s="109" t="s">
        <v>4043</v>
      </c>
      <c r="Z20" s="109" t="s">
        <v>4044</v>
      </c>
      <c r="AA20" s="109" t="s">
        <v>4033</v>
      </c>
      <c r="AB20" s="109" t="s">
        <v>3858</v>
      </c>
      <c r="AC20" s="112"/>
      <c r="AD20" s="109" t="s">
        <v>4045</v>
      </c>
      <c r="AE20" s="112"/>
      <c r="AF20" s="109" t="s">
        <v>3858</v>
      </c>
      <c r="AG20" s="109" t="s">
        <v>4046</v>
      </c>
      <c r="AH20" s="109" t="s">
        <v>4045</v>
      </c>
      <c r="AI20" s="109" t="s">
        <v>4047</v>
      </c>
      <c r="AJ20" s="109" t="s">
        <v>4047</v>
      </c>
      <c r="AK20" s="109" t="s">
        <v>3858</v>
      </c>
      <c r="AL20" s="109" t="s">
        <v>4048</v>
      </c>
      <c r="AM20" s="109" t="s">
        <v>4033</v>
      </c>
      <c r="AN20" s="109" t="s">
        <v>4049</v>
      </c>
      <c r="AO20" s="109" t="s">
        <v>4037</v>
      </c>
      <c r="AP20" s="109" t="s">
        <v>3858</v>
      </c>
      <c r="AQ20" s="109" t="s">
        <v>3858</v>
      </c>
      <c r="AR20" s="109" t="s">
        <v>3858</v>
      </c>
      <c r="AS20" s="109" t="s">
        <v>4050</v>
      </c>
      <c r="AT20" s="109" t="s">
        <v>4037</v>
      </c>
      <c r="AU20" s="109" t="s">
        <v>4033</v>
      </c>
      <c r="AV20" s="109" t="s">
        <v>3858</v>
      </c>
    </row>
    <row r="21" spans="1:59">
      <c r="A21" s="102">
        <v>20</v>
      </c>
      <c r="B21" s="102" t="s">
        <v>2188</v>
      </c>
      <c r="C21" s="102" t="s">
        <v>419</v>
      </c>
      <c r="D21" s="102" t="s">
        <v>2574</v>
      </c>
      <c r="E21" s="103" t="s">
        <v>205</v>
      </c>
      <c r="F21" s="102" t="s">
        <v>116</v>
      </c>
      <c r="G21" s="102" t="s">
        <v>32</v>
      </c>
      <c r="H21" s="105" t="s">
        <v>1312</v>
      </c>
      <c r="I21" s="102" t="s">
        <v>548</v>
      </c>
      <c r="J21" s="102" t="s">
        <v>186</v>
      </c>
      <c r="K21" s="103" t="s">
        <v>78</v>
      </c>
      <c r="L21" s="102" t="s">
        <v>72</v>
      </c>
      <c r="M21" s="102" t="s">
        <v>2188</v>
      </c>
      <c r="N21" s="103" t="s">
        <v>97</v>
      </c>
      <c r="O21" s="103" t="s">
        <v>2188</v>
      </c>
      <c r="P21" s="103" t="s">
        <v>3726</v>
      </c>
      <c r="Q21" s="103" t="s">
        <v>5</v>
      </c>
      <c r="R21" s="103" t="s">
        <v>124</v>
      </c>
      <c r="S21" s="103" t="s">
        <v>1361</v>
      </c>
      <c r="T21" s="103" t="s">
        <v>62</v>
      </c>
      <c r="U21" s="102" t="s">
        <v>2205</v>
      </c>
      <c r="V21" s="103" t="s">
        <v>3364</v>
      </c>
      <c r="W21" s="103" t="s">
        <v>11</v>
      </c>
      <c r="X21" s="102" t="s">
        <v>3034</v>
      </c>
      <c r="Y21" s="102" t="s">
        <v>1120</v>
      </c>
      <c r="Z21" s="102" t="s">
        <v>48</v>
      </c>
      <c r="AA21" s="102" t="s">
        <v>2508</v>
      </c>
      <c r="AB21" s="103" t="s">
        <v>2205</v>
      </c>
      <c r="AC21" s="103" t="s">
        <v>2648</v>
      </c>
      <c r="AD21" s="102" t="s">
        <v>83</v>
      </c>
      <c r="AE21" s="103" t="s">
        <v>3830</v>
      </c>
      <c r="AF21" s="103" t="s">
        <v>1700</v>
      </c>
      <c r="AG21" s="103" t="s">
        <v>3457</v>
      </c>
      <c r="AH21" s="103" t="s">
        <v>39</v>
      </c>
      <c r="AI21" s="103" t="s">
        <v>32</v>
      </c>
      <c r="AJ21" s="103" t="s">
        <v>32</v>
      </c>
      <c r="AK21" s="103" t="s">
        <v>732</v>
      </c>
      <c r="AL21" s="102" t="s">
        <v>116</v>
      </c>
      <c r="AM21" s="102" t="s">
        <v>106</v>
      </c>
      <c r="AN21" s="103" t="s">
        <v>3201</v>
      </c>
      <c r="AO21" s="102" t="s">
        <v>2188</v>
      </c>
      <c r="AP21" s="106" t="s">
        <v>11</v>
      </c>
      <c r="AQ21" s="102" t="s">
        <v>11</v>
      </c>
      <c r="AR21" s="103" t="s">
        <v>1700</v>
      </c>
      <c r="AS21" s="103" t="s">
        <v>3552</v>
      </c>
      <c r="AT21" s="103" t="s">
        <v>180</v>
      </c>
      <c r="AU21" s="103" t="s">
        <v>862</v>
      </c>
      <c r="AV21" s="103" t="s">
        <v>193</v>
      </c>
      <c r="BG21" s="110"/>
    </row>
    <row r="22" spans="1:59">
      <c r="A22" s="102">
        <v>21</v>
      </c>
      <c r="B22" s="102" t="s">
        <v>370</v>
      </c>
      <c r="C22" s="102" t="s">
        <v>370</v>
      </c>
      <c r="D22" s="102" t="s">
        <v>2584</v>
      </c>
      <c r="E22" s="103" t="s">
        <v>470</v>
      </c>
      <c r="F22" s="102" t="s">
        <v>497</v>
      </c>
      <c r="G22" s="102" t="s">
        <v>531</v>
      </c>
      <c r="H22" s="105" t="s">
        <v>479</v>
      </c>
      <c r="I22" s="102" t="s">
        <v>479</v>
      </c>
      <c r="J22" s="102" t="s">
        <v>370</v>
      </c>
      <c r="K22" s="102" t="s">
        <v>370</v>
      </c>
      <c r="L22" s="102" t="s">
        <v>370</v>
      </c>
      <c r="M22" s="102" t="s">
        <v>370</v>
      </c>
      <c r="N22" s="103" t="s">
        <v>370</v>
      </c>
      <c r="O22" s="103" t="s">
        <v>370</v>
      </c>
      <c r="P22" s="103" t="s">
        <v>3746</v>
      </c>
      <c r="Q22" s="103" t="s">
        <v>370</v>
      </c>
      <c r="R22" s="103" t="s">
        <v>2785</v>
      </c>
      <c r="S22" s="103" t="s">
        <v>1381</v>
      </c>
      <c r="T22" s="103" t="s">
        <v>3418</v>
      </c>
      <c r="U22" s="102" t="s">
        <v>370</v>
      </c>
      <c r="V22" s="103" t="s">
        <v>3378</v>
      </c>
      <c r="W22" s="103" t="s">
        <v>370</v>
      </c>
      <c r="X22" s="102" t="s">
        <v>3053</v>
      </c>
      <c r="Y22" s="102" t="s">
        <v>1140</v>
      </c>
      <c r="Z22" s="102" t="s">
        <v>2830</v>
      </c>
      <c r="AA22" s="102" t="s">
        <v>497</v>
      </c>
      <c r="AB22" s="103" t="s">
        <v>370</v>
      </c>
      <c r="AC22" s="103" t="s">
        <v>2668</v>
      </c>
      <c r="AD22" s="102" t="s">
        <v>2861</v>
      </c>
      <c r="AE22" s="103" t="s">
        <v>2904</v>
      </c>
      <c r="AF22" s="103" t="s">
        <v>370</v>
      </c>
      <c r="AG22" s="103" t="s">
        <v>470</v>
      </c>
      <c r="AH22" s="103" t="s">
        <v>370</v>
      </c>
      <c r="AI22" s="103" t="s">
        <v>370</v>
      </c>
      <c r="AJ22" s="103" t="s">
        <v>370</v>
      </c>
      <c r="AK22" s="103" t="s">
        <v>370</v>
      </c>
      <c r="AL22" s="102" t="s">
        <v>2904</v>
      </c>
      <c r="AM22" s="102" t="s">
        <v>2922</v>
      </c>
      <c r="AN22" s="103" t="s">
        <v>370</v>
      </c>
      <c r="AO22" s="102" t="s">
        <v>370</v>
      </c>
      <c r="AP22" s="106" t="s">
        <v>370</v>
      </c>
      <c r="AQ22" s="102" t="s">
        <v>370</v>
      </c>
      <c r="AR22" s="102" t="s">
        <v>370</v>
      </c>
      <c r="AS22" s="103" t="s">
        <v>2956</v>
      </c>
      <c r="AT22" s="103" t="s">
        <v>370</v>
      </c>
      <c r="AU22" s="103" t="s">
        <v>2904</v>
      </c>
      <c r="AV22" s="103" t="s">
        <v>950</v>
      </c>
    </row>
    <row r="23" spans="1:59">
      <c r="A23" s="102">
        <v>22</v>
      </c>
      <c r="B23" s="104" t="s">
        <v>359</v>
      </c>
      <c r="C23" s="102" t="s">
        <v>420</v>
      </c>
      <c r="D23" s="102" t="s">
        <v>2575</v>
      </c>
      <c r="E23" s="103" t="s">
        <v>461</v>
      </c>
      <c r="F23" s="102" t="s">
        <v>485</v>
      </c>
      <c r="G23" s="102" t="s">
        <v>359</v>
      </c>
      <c r="H23" s="105" t="s">
        <v>476</v>
      </c>
      <c r="I23" s="102" t="s">
        <v>476</v>
      </c>
      <c r="J23" s="102" t="s">
        <v>359</v>
      </c>
      <c r="K23" s="103" t="s">
        <v>359</v>
      </c>
      <c r="L23" s="102" t="s">
        <v>420</v>
      </c>
      <c r="M23" s="102" t="s">
        <v>359</v>
      </c>
      <c r="N23" s="103" t="s">
        <v>630</v>
      </c>
      <c r="O23" s="103" t="s">
        <v>2743</v>
      </c>
      <c r="P23" s="103" t="s">
        <v>3727</v>
      </c>
      <c r="Q23" s="103" t="s">
        <v>2761</v>
      </c>
      <c r="R23" s="103" t="s">
        <v>2772</v>
      </c>
      <c r="S23" s="103" t="s">
        <v>1362</v>
      </c>
      <c r="T23" s="103" t="s">
        <v>2796</v>
      </c>
      <c r="U23" s="102" t="s">
        <v>359</v>
      </c>
      <c r="V23" s="103" t="s">
        <v>2796</v>
      </c>
      <c r="W23" s="103" t="s">
        <v>359</v>
      </c>
      <c r="X23" s="102" t="s">
        <v>3035</v>
      </c>
      <c r="Y23" s="102" t="s">
        <v>1121</v>
      </c>
      <c r="Z23" s="102" t="s">
        <v>359</v>
      </c>
      <c r="AA23" s="102" t="s">
        <v>2899</v>
      </c>
      <c r="AB23" s="103" t="s">
        <v>359</v>
      </c>
      <c r="AC23" s="103" t="s">
        <v>2649</v>
      </c>
      <c r="AD23" s="102" t="s">
        <v>2851</v>
      </c>
      <c r="AE23" s="103" t="s">
        <v>2899</v>
      </c>
      <c r="AF23" s="103" t="s">
        <v>359</v>
      </c>
      <c r="AG23" s="103" t="s">
        <v>3458</v>
      </c>
      <c r="AH23" s="103" t="s">
        <v>2875</v>
      </c>
      <c r="AI23" s="103" t="s">
        <v>359</v>
      </c>
      <c r="AJ23" s="103" t="s">
        <v>359</v>
      </c>
      <c r="AK23" s="103" t="s">
        <v>359</v>
      </c>
      <c r="AL23" s="102" t="s">
        <v>2899</v>
      </c>
      <c r="AM23" s="102" t="s">
        <v>2913</v>
      </c>
      <c r="AN23" s="103" t="s">
        <v>2796</v>
      </c>
      <c r="AO23" s="102" t="s">
        <v>359</v>
      </c>
      <c r="AP23" s="106" t="s">
        <v>359</v>
      </c>
      <c r="AQ23" s="102" t="s">
        <v>359</v>
      </c>
      <c r="AR23" s="102" t="s">
        <v>359</v>
      </c>
      <c r="AS23" s="103" t="s">
        <v>2949</v>
      </c>
      <c r="AT23" s="103" t="s">
        <v>2978</v>
      </c>
      <c r="AU23" s="103" t="s">
        <v>2899</v>
      </c>
      <c r="AV23" s="103" t="s">
        <v>942</v>
      </c>
      <c r="BG23" s="110"/>
    </row>
    <row r="24" spans="1:59" ht="15">
      <c r="A24" s="102">
        <v>23</v>
      </c>
      <c r="B24" s="112" t="s">
        <v>3856</v>
      </c>
      <c r="C24" s="109" t="s">
        <v>4122</v>
      </c>
      <c r="D24" s="109" t="s">
        <v>4123</v>
      </c>
      <c r="E24" s="109" t="s">
        <v>4124</v>
      </c>
      <c r="F24" s="109" t="s">
        <v>4125</v>
      </c>
      <c r="G24" s="109" t="s">
        <v>4126</v>
      </c>
      <c r="H24" s="109" t="s">
        <v>4127</v>
      </c>
      <c r="I24" s="109" t="s">
        <v>4128</v>
      </c>
      <c r="J24" s="109" t="s">
        <v>4129</v>
      </c>
      <c r="K24" s="109" t="s">
        <v>4130</v>
      </c>
      <c r="L24" s="109" t="s">
        <v>4131</v>
      </c>
      <c r="M24" s="112" t="s">
        <v>3856</v>
      </c>
      <c r="N24" s="109" t="s">
        <v>4132</v>
      </c>
      <c r="O24" s="109" t="s">
        <v>4133</v>
      </c>
      <c r="P24" s="109" t="s">
        <v>4134</v>
      </c>
      <c r="Q24" s="109" t="s">
        <v>4135</v>
      </c>
      <c r="R24" s="109" t="s">
        <v>4136</v>
      </c>
      <c r="S24" s="109" t="s">
        <v>4137</v>
      </c>
      <c r="T24" s="109" t="s">
        <v>4138</v>
      </c>
      <c r="U24" s="109" t="s">
        <v>3856</v>
      </c>
      <c r="V24" s="109" t="s">
        <v>4139</v>
      </c>
      <c r="W24" s="109" t="s">
        <v>4140</v>
      </c>
      <c r="X24" s="109" t="s">
        <v>4141</v>
      </c>
      <c r="Y24" s="109" t="s">
        <v>4142</v>
      </c>
      <c r="Z24" s="109" t="s">
        <v>4143</v>
      </c>
      <c r="AA24" s="109" t="s">
        <v>4125</v>
      </c>
      <c r="AB24" s="109" t="s">
        <v>3856</v>
      </c>
      <c r="AC24" s="112"/>
      <c r="AD24" s="109" t="s">
        <v>3856</v>
      </c>
      <c r="AE24" s="112"/>
      <c r="AF24" s="109" t="s">
        <v>4144</v>
      </c>
      <c r="AG24" s="109" t="s">
        <v>4145</v>
      </c>
      <c r="AH24" s="109" t="s">
        <v>4146</v>
      </c>
      <c r="AI24" s="109" t="s">
        <v>4147</v>
      </c>
      <c r="AJ24" s="109" t="s">
        <v>4147</v>
      </c>
      <c r="AK24" s="109" t="s">
        <v>4148</v>
      </c>
      <c r="AL24" s="109" t="s">
        <v>4149</v>
      </c>
      <c r="AM24" s="109" t="s">
        <v>4125</v>
      </c>
      <c r="AN24" s="109" t="s">
        <v>4150</v>
      </c>
      <c r="AO24" s="109" t="s">
        <v>4151</v>
      </c>
      <c r="AP24" s="109" t="s">
        <v>3856</v>
      </c>
      <c r="AQ24" s="109" t="s">
        <v>3856</v>
      </c>
      <c r="AR24" s="109" t="s">
        <v>4152</v>
      </c>
      <c r="AS24" s="109" t="s">
        <v>4153</v>
      </c>
      <c r="AT24" s="109" t="s">
        <v>4154</v>
      </c>
      <c r="AU24" s="109" t="s">
        <v>4155</v>
      </c>
      <c r="AV24" s="109" t="s">
        <v>3856</v>
      </c>
      <c r="BG24" s="110"/>
    </row>
    <row r="25" spans="1:59" ht="15">
      <c r="A25" s="102">
        <v>24</v>
      </c>
      <c r="B25" s="112" t="s">
        <v>3854</v>
      </c>
      <c r="C25" s="109" t="s">
        <v>3854</v>
      </c>
      <c r="D25" s="109" t="s">
        <v>3854</v>
      </c>
      <c r="E25" s="109" t="s">
        <v>4069</v>
      </c>
      <c r="F25" s="109" t="s">
        <v>4070</v>
      </c>
      <c r="G25" s="109" t="s">
        <v>3854</v>
      </c>
      <c r="H25" s="109" t="s">
        <v>4071</v>
      </c>
      <c r="I25" s="109" t="s">
        <v>4071</v>
      </c>
      <c r="J25" s="109" t="s">
        <v>3854</v>
      </c>
      <c r="K25" s="109" t="s">
        <v>3854</v>
      </c>
      <c r="L25" s="109" t="s">
        <v>3854</v>
      </c>
      <c r="M25" s="112" t="s">
        <v>3854</v>
      </c>
      <c r="N25" s="109" t="s">
        <v>3854</v>
      </c>
      <c r="O25" s="109" t="s">
        <v>3854</v>
      </c>
      <c r="P25" s="109" t="s">
        <v>4072</v>
      </c>
      <c r="Q25" s="109" t="s">
        <v>3854</v>
      </c>
      <c r="R25" s="109" t="s">
        <v>4073</v>
      </c>
      <c r="S25" s="109" t="s">
        <v>4074</v>
      </c>
      <c r="T25" s="109" t="s">
        <v>4075</v>
      </c>
      <c r="U25" s="109" t="s">
        <v>3854</v>
      </c>
      <c r="V25" s="109" t="s">
        <v>4076</v>
      </c>
      <c r="W25" s="109" t="s">
        <v>3854</v>
      </c>
      <c r="X25" s="109" t="s">
        <v>4077</v>
      </c>
      <c r="Y25" s="109" t="s">
        <v>4078</v>
      </c>
      <c r="Z25" s="109" t="s">
        <v>4079</v>
      </c>
      <c r="AA25" s="109" t="s">
        <v>4070</v>
      </c>
      <c r="AB25" s="109" t="s">
        <v>3854</v>
      </c>
      <c r="AC25" s="112"/>
      <c r="AD25" s="109" t="s">
        <v>3854</v>
      </c>
      <c r="AE25" s="112"/>
      <c r="AF25" s="109" t="s">
        <v>3854</v>
      </c>
      <c r="AG25" s="109" t="s">
        <v>4080</v>
      </c>
      <c r="AH25" s="109" t="s">
        <v>3854</v>
      </c>
      <c r="AI25" s="109" t="s">
        <v>4081</v>
      </c>
      <c r="AJ25" s="109" t="s">
        <v>4081</v>
      </c>
      <c r="AK25" s="109" t="s">
        <v>3854</v>
      </c>
      <c r="AL25" s="109" t="s">
        <v>4070</v>
      </c>
      <c r="AM25" s="109" t="s">
        <v>4070</v>
      </c>
      <c r="AN25" s="109" t="s">
        <v>4075</v>
      </c>
      <c r="AO25" s="109" t="s">
        <v>3854</v>
      </c>
      <c r="AP25" s="109" t="s">
        <v>4075</v>
      </c>
      <c r="AQ25" s="109" t="s">
        <v>4075</v>
      </c>
      <c r="AR25" s="109" t="s">
        <v>3854</v>
      </c>
      <c r="AS25" s="109" t="s">
        <v>4082</v>
      </c>
      <c r="AT25" s="109" t="s">
        <v>4083</v>
      </c>
      <c r="AU25" s="109" t="s">
        <v>4084</v>
      </c>
      <c r="AV25" s="109" t="s">
        <v>3854</v>
      </c>
    </row>
    <row r="26" spans="1:59">
      <c r="A26" s="102">
        <v>25</v>
      </c>
      <c r="B26" s="104" t="s">
        <v>360</v>
      </c>
      <c r="C26" s="102" t="s">
        <v>421</v>
      </c>
      <c r="D26" s="102" t="s">
        <v>360</v>
      </c>
      <c r="E26" s="103" t="s">
        <v>462</v>
      </c>
      <c r="F26" s="102" t="s">
        <v>486</v>
      </c>
      <c r="G26" s="102" t="s">
        <v>522</v>
      </c>
      <c r="H26" s="105" t="s">
        <v>1313</v>
      </c>
      <c r="I26" s="102" t="s">
        <v>549</v>
      </c>
      <c r="J26" s="102" t="s">
        <v>579</v>
      </c>
      <c r="K26" s="103" t="s">
        <v>360</v>
      </c>
      <c r="L26" s="102" t="s">
        <v>360</v>
      </c>
      <c r="M26" s="102" t="s">
        <v>360</v>
      </c>
      <c r="N26" s="103" t="s">
        <v>360</v>
      </c>
      <c r="O26" s="103" t="s">
        <v>2744</v>
      </c>
      <c r="P26" s="103" t="s">
        <v>3728</v>
      </c>
      <c r="Q26" s="103" t="s">
        <v>360</v>
      </c>
      <c r="R26" s="103" t="s">
        <v>2773</v>
      </c>
      <c r="S26" s="103" t="s">
        <v>1363</v>
      </c>
      <c r="T26" s="103" t="s">
        <v>2744</v>
      </c>
      <c r="U26" s="102" t="s">
        <v>360</v>
      </c>
      <c r="V26" s="103" t="s">
        <v>3365</v>
      </c>
      <c r="W26" s="103" t="s">
        <v>360</v>
      </c>
      <c r="X26" s="102" t="s">
        <v>3036</v>
      </c>
      <c r="Y26" s="102" t="s">
        <v>1122</v>
      </c>
      <c r="Z26" s="102" t="s">
        <v>579</v>
      </c>
      <c r="AA26" s="102" t="s">
        <v>2509</v>
      </c>
      <c r="AB26" s="103" t="s">
        <v>360</v>
      </c>
      <c r="AC26" s="103" t="s">
        <v>2650</v>
      </c>
      <c r="AD26" s="102" t="s">
        <v>2852</v>
      </c>
      <c r="AE26" s="103" t="s">
        <v>3831</v>
      </c>
      <c r="AF26" s="103" t="s">
        <v>360</v>
      </c>
      <c r="AG26" s="103" t="s">
        <v>3459</v>
      </c>
      <c r="AH26" s="103" t="s">
        <v>360</v>
      </c>
      <c r="AI26" s="103" t="s">
        <v>2744</v>
      </c>
      <c r="AJ26" s="103" t="s">
        <v>2744</v>
      </c>
      <c r="AK26" s="103" t="s">
        <v>360</v>
      </c>
      <c r="AL26" s="102" t="s">
        <v>486</v>
      </c>
      <c r="AM26" s="102" t="s">
        <v>2914</v>
      </c>
      <c r="AN26" s="103" t="s">
        <v>2744</v>
      </c>
      <c r="AO26" s="102" t="s">
        <v>579</v>
      </c>
      <c r="AP26" s="106" t="s">
        <v>360</v>
      </c>
      <c r="AQ26" s="102" t="s">
        <v>360</v>
      </c>
      <c r="AR26" s="102" t="s">
        <v>360</v>
      </c>
      <c r="AS26" s="103" t="s">
        <v>2950</v>
      </c>
      <c r="AT26" s="103" t="s">
        <v>2979</v>
      </c>
      <c r="AU26" s="103" t="s">
        <v>863</v>
      </c>
      <c r="AV26" s="103" t="s">
        <v>943</v>
      </c>
      <c r="BG26" s="110"/>
    </row>
    <row r="27" spans="1:59">
      <c r="A27" s="102">
        <v>26</v>
      </c>
      <c r="B27" s="104" t="s">
        <v>2183</v>
      </c>
      <c r="C27" s="102" t="s">
        <v>69</v>
      </c>
      <c r="D27" s="102" t="s">
        <v>2580</v>
      </c>
      <c r="E27" s="103" t="s">
        <v>203</v>
      </c>
      <c r="F27" s="102" t="s">
        <v>113</v>
      </c>
      <c r="G27" s="102" t="s">
        <v>52</v>
      </c>
      <c r="H27" s="105" t="s">
        <v>1319</v>
      </c>
      <c r="I27" s="102" t="s">
        <v>555</v>
      </c>
      <c r="J27" s="102" t="s">
        <v>185</v>
      </c>
      <c r="K27" s="103" t="s">
        <v>76</v>
      </c>
      <c r="L27" s="102" t="s">
        <v>69</v>
      </c>
      <c r="M27" s="102" t="s">
        <v>2183</v>
      </c>
      <c r="N27" s="103" t="s">
        <v>96</v>
      </c>
      <c r="O27" s="103" t="s">
        <v>2210</v>
      </c>
      <c r="P27" s="103" t="s">
        <v>3734</v>
      </c>
      <c r="Q27" s="103" t="s">
        <v>3</v>
      </c>
      <c r="R27" s="103" t="s">
        <v>121</v>
      </c>
      <c r="S27" s="103" t="s">
        <v>1369</v>
      </c>
      <c r="T27" s="103" t="s">
        <v>59</v>
      </c>
      <c r="U27" s="102" t="s">
        <v>2202</v>
      </c>
      <c r="V27" s="103" t="s">
        <v>3369</v>
      </c>
      <c r="W27" s="103" t="s">
        <v>26</v>
      </c>
      <c r="X27" s="102" t="s">
        <v>3042</v>
      </c>
      <c r="Y27" s="102" t="s">
        <v>1128</v>
      </c>
      <c r="Z27" s="102" t="s">
        <v>46</v>
      </c>
      <c r="AA27" s="102" t="s">
        <v>2512</v>
      </c>
      <c r="AB27" s="103" t="s">
        <v>2202</v>
      </c>
      <c r="AC27" s="103" t="s">
        <v>2656</v>
      </c>
      <c r="AD27" s="102" t="s">
        <v>81</v>
      </c>
      <c r="AE27" s="103" t="s">
        <v>3836</v>
      </c>
      <c r="AF27" s="103" t="s">
        <v>76</v>
      </c>
      <c r="AG27" s="103" t="s">
        <v>3465</v>
      </c>
      <c r="AH27" s="103" t="s">
        <v>37</v>
      </c>
      <c r="AI27" s="103" t="s">
        <v>30</v>
      </c>
      <c r="AJ27" s="103" t="s">
        <v>30</v>
      </c>
      <c r="AK27" s="102" t="s">
        <v>26</v>
      </c>
      <c r="AL27" s="102" t="s">
        <v>113</v>
      </c>
      <c r="AM27" s="102" t="s">
        <v>103</v>
      </c>
      <c r="AN27" s="103" t="s">
        <v>3206</v>
      </c>
      <c r="AO27" s="102" t="s">
        <v>89</v>
      </c>
      <c r="AP27" s="106" t="s">
        <v>9</v>
      </c>
      <c r="AQ27" s="102" t="s">
        <v>9</v>
      </c>
      <c r="AR27" s="103" t="s">
        <v>76</v>
      </c>
      <c r="AS27" s="103" t="s">
        <v>3556</v>
      </c>
      <c r="AT27" s="103" t="s">
        <v>131</v>
      </c>
      <c r="AU27" s="103" t="s">
        <v>867</v>
      </c>
      <c r="AV27" s="103" t="s">
        <v>191</v>
      </c>
      <c r="BG27" s="110"/>
    </row>
    <row r="28" spans="1:59">
      <c r="A28" s="102">
        <v>27</v>
      </c>
      <c r="B28" s="102" t="s">
        <v>2182</v>
      </c>
      <c r="C28" s="102" t="s">
        <v>2182</v>
      </c>
      <c r="D28" s="102" t="s">
        <v>36</v>
      </c>
      <c r="E28" s="103" t="s">
        <v>202</v>
      </c>
      <c r="F28" s="102" t="s">
        <v>112</v>
      </c>
      <c r="G28" s="102" t="s">
        <v>2182</v>
      </c>
      <c r="H28" s="105" t="s">
        <v>209</v>
      </c>
      <c r="I28" s="102" t="s">
        <v>209</v>
      </c>
      <c r="J28" s="102" t="s">
        <v>2182</v>
      </c>
      <c r="K28" s="103" t="s">
        <v>2182</v>
      </c>
      <c r="L28" s="102" t="s">
        <v>2182</v>
      </c>
      <c r="M28" s="102" t="s">
        <v>2182</v>
      </c>
      <c r="N28" s="103" t="s">
        <v>95</v>
      </c>
      <c r="O28" s="103" t="s">
        <v>2182</v>
      </c>
      <c r="P28" s="103" t="s">
        <v>3743</v>
      </c>
      <c r="Q28" s="103" t="s">
        <v>2182</v>
      </c>
      <c r="R28" s="103" t="s">
        <v>2784</v>
      </c>
      <c r="S28" s="103" t="s">
        <v>1378</v>
      </c>
      <c r="T28" s="103" t="s">
        <v>58</v>
      </c>
      <c r="U28" s="102" t="s">
        <v>2182</v>
      </c>
      <c r="V28" s="103" t="s">
        <v>3375</v>
      </c>
      <c r="W28" s="103" t="s">
        <v>16</v>
      </c>
      <c r="X28" s="102" t="s">
        <v>3050</v>
      </c>
      <c r="Y28" s="102" t="s">
        <v>1137</v>
      </c>
      <c r="Z28" s="102" t="s">
        <v>45</v>
      </c>
      <c r="AA28" s="102" t="s">
        <v>102</v>
      </c>
      <c r="AB28" s="103" t="s">
        <v>2182</v>
      </c>
      <c r="AC28" s="103" t="s">
        <v>2665</v>
      </c>
      <c r="AD28" s="102" t="s">
        <v>2860</v>
      </c>
      <c r="AE28" s="103" t="s">
        <v>3843</v>
      </c>
      <c r="AF28" s="103" t="s">
        <v>2182</v>
      </c>
      <c r="AG28" s="103" t="s">
        <v>3474</v>
      </c>
      <c r="AH28" s="103" t="s">
        <v>36</v>
      </c>
      <c r="AI28" s="103" t="s">
        <v>2182</v>
      </c>
      <c r="AJ28" s="103" t="s">
        <v>2182</v>
      </c>
      <c r="AK28" s="103" t="s">
        <v>36</v>
      </c>
      <c r="AL28" s="102" t="s">
        <v>112</v>
      </c>
      <c r="AM28" s="102" t="s">
        <v>102</v>
      </c>
      <c r="AN28" s="103" t="s">
        <v>3211</v>
      </c>
      <c r="AO28" s="102" t="s">
        <v>88</v>
      </c>
      <c r="AP28" s="106" t="s">
        <v>2182</v>
      </c>
      <c r="AQ28" s="102" t="s">
        <v>2182</v>
      </c>
      <c r="AR28" s="102" t="s">
        <v>2182</v>
      </c>
      <c r="AS28" s="103" t="s">
        <v>3562</v>
      </c>
      <c r="AT28" s="103" t="s">
        <v>130</v>
      </c>
      <c r="AU28" s="103" t="s">
        <v>874</v>
      </c>
      <c r="AV28" s="103" t="s">
        <v>190</v>
      </c>
      <c r="BG28" s="110"/>
    </row>
    <row r="29" spans="1:59">
      <c r="A29" s="102">
        <v>28</v>
      </c>
      <c r="B29" s="102" t="s">
        <v>366</v>
      </c>
      <c r="C29" s="102" t="s">
        <v>366</v>
      </c>
      <c r="D29" s="102" t="s">
        <v>584</v>
      </c>
      <c r="E29" s="103" t="s">
        <v>465</v>
      </c>
      <c r="F29" s="102" t="s">
        <v>492</v>
      </c>
      <c r="G29" s="102" t="s">
        <v>366</v>
      </c>
      <c r="H29" s="105" t="s">
        <v>1321</v>
      </c>
      <c r="I29" s="102" t="s">
        <v>556</v>
      </c>
      <c r="J29" s="102" t="s">
        <v>584</v>
      </c>
      <c r="K29" s="103" t="s">
        <v>366</v>
      </c>
      <c r="L29" s="102" t="s">
        <v>366</v>
      </c>
      <c r="M29" s="102" t="s">
        <v>366</v>
      </c>
      <c r="N29" s="103" t="s">
        <v>366</v>
      </c>
      <c r="O29" s="103" t="s">
        <v>366</v>
      </c>
      <c r="P29" s="103" t="s">
        <v>3736</v>
      </c>
      <c r="Q29" s="103" t="s">
        <v>366</v>
      </c>
      <c r="R29" s="103" t="s">
        <v>2779</v>
      </c>
      <c r="S29" s="103" t="s">
        <v>1371</v>
      </c>
      <c r="T29" s="103" t="s">
        <v>2799</v>
      </c>
      <c r="U29" s="102" t="s">
        <v>366</v>
      </c>
      <c r="V29" s="103" t="s">
        <v>584</v>
      </c>
      <c r="W29" s="103" t="s">
        <v>366</v>
      </c>
      <c r="X29" s="102" t="s">
        <v>3044</v>
      </c>
      <c r="Y29" s="102" t="s">
        <v>1130</v>
      </c>
      <c r="Z29" s="102" t="s">
        <v>584</v>
      </c>
      <c r="AA29" s="102" t="s">
        <v>492</v>
      </c>
      <c r="AB29" s="103" t="s">
        <v>366</v>
      </c>
      <c r="AC29" s="103" t="s">
        <v>2658</v>
      </c>
      <c r="AD29" s="102" t="s">
        <v>584</v>
      </c>
      <c r="AE29" s="103" t="s">
        <v>492</v>
      </c>
      <c r="AF29" s="103" t="s">
        <v>366</v>
      </c>
      <c r="AG29" s="103" t="s">
        <v>3467</v>
      </c>
      <c r="AH29" s="103" t="s">
        <v>366</v>
      </c>
      <c r="AI29" s="103" t="s">
        <v>584</v>
      </c>
      <c r="AJ29" s="103" t="s">
        <v>584</v>
      </c>
      <c r="AK29" s="102" t="s">
        <v>366</v>
      </c>
      <c r="AL29" s="102" t="s">
        <v>492</v>
      </c>
      <c r="AM29" s="102" t="s">
        <v>492</v>
      </c>
      <c r="AN29" s="103" t="s">
        <v>366</v>
      </c>
      <c r="AO29" s="102" t="s">
        <v>584</v>
      </c>
      <c r="AP29" s="106" t="s">
        <v>366</v>
      </c>
      <c r="AQ29" s="102" t="s">
        <v>366</v>
      </c>
      <c r="AR29" s="102" t="s">
        <v>366</v>
      </c>
      <c r="AS29" s="103" t="s">
        <v>2954</v>
      </c>
      <c r="AT29" s="103" t="s">
        <v>584</v>
      </c>
      <c r="AU29" s="103" t="s">
        <v>492</v>
      </c>
      <c r="AV29" s="103" t="s">
        <v>946</v>
      </c>
    </row>
    <row r="30" spans="1:59">
      <c r="A30" s="102">
        <v>29</v>
      </c>
      <c r="B30" s="102" t="s">
        <v>363</v>
      </c>
      <c r="C30" s="102" t="s">
        <v>425</v>
      </c>
      <c r="D30" s="102" t="s">
        <v>2578</v>
      </c>
      <c r="E30" s="103" t="s">
        <v>2399</v>
      </c>
      <c r="F30" s="102" t="s">
        <v>489</v>
      </c>
      <c r="G30" s="102" t="s">
        <v>525</v>
      </c>
      <c r="H30" s="105" t="s">
        <v>1317</v>
      </c>
      <c r="I30" s="102" t="s">
        <v>553</v>
      </c>
      <c r="J30" s="102" t="s">
        <v>363</v>
      </c>
      <c r="K30" s="103" t="s">
        <v>363</v>
      </c>
      <c r="L30" s="102" t="s">
        <v>363</v>
      </c>
      <c r="M30" s="102" t="s">
        <v>363</v>
      </c>
      <c r="N30" s="103" t="s">
        <v>178</v>
      </c>
      <c r="O30" s="103" t="s">
        <v>3674</v>
      </c>
      <c r="P30" s="103" t="s">
        <v>3732</v>
      </c>
      <c r="Q30" s="103" t="s">
        <v>363</v>
      </c>
      <c r="R30" s="103" t="s">
        <v>2776</v>
      </c>
      <c r="S30" s="103" t="s">
        <v>1367</v>
      </c>
      <c r="T30" s="103" t="s">
        <v>3417</v>
      </c>
      <c r="U30" s="102" t="s">
        <v>375</v>
      </c>
      <c r="V30" s="103" t="s">
        <v>363</v>
      </c>
      <c r="W30" s="103" t="s">
        <v>2809</v>
      </c>
      <c r="X30" s="102" t="s">
        <v>3040</v>
      </c>
      <c r="Y30" s="102" t="s">
        <v>1126</v>
      </c>
      <c r="Z30" s="102" t="s">
        <v>2823</v>
      </c>
      <c r="AA30" s="102" t="s">
        <v>2917</v>
      </c>
      <c r="AB30" s="103" t="s">
        <v>1166</v>
      </c>
      <c r="AC30" s="103" t="s">
        <v>2654</v>
      </c>
      <c r="AD30" s="102" t="s">
        <v>363</v>
      </c>
      <c r="AE30" s="103" t="s">
        <v>3835</v>
      </c>
      <c r="AF30" s="103" t="s">
        <v>363</v>
      </c>
      <c r="AG30" s="103" t="s">
        <v>3463</v>
      </c>
      <c r="AH30" s="103" t="s">
        <v>363</v>
      </c>
      <c r="AI30" s="103" t="s">
        <v>2885</v>
      </c>
      <c r="AJ30" s="103" t="s">
        <v>1056</v>
      </c>
      <c r="AK30" s="103" t="s">
        <v>733</v>
      </c>
      <c r="AL30" s="102" t="s">
        <v>2901</v>
      </c>
      <c r="AM30" s="102" t="s">
        <v>2917</v>
      </c>
      <c r="AN30" s="103" t="s">
        <v>363</v>
      </c>
      <c r="AO30" s="102" t="s">
        <v>4276</v>
      </c>
      <c r="AP30" s="106" t="s">
        <v>1056</v>
      </c>
      <c r="AQ30" s="102" t="s">
        <v>824</v>
      </c>
      <c r="AR30" s="102" t="s">
        <v>363</v>
      </c>
      <c r="AS30" s="103" t="s">
        <v>3555</v>
      </c>
      <c r="AT30" s="103" t="s">
        <v>2981</v>
      </c>
      <c r="AU30" s="103" t="s">
        <v>2901</v>
      </c>
      <c r="AV30" s="103" t="s">
        <v>945</v>
      </c>
    </row>
    <row r="31" spans="1:59" ht="15">
      <c r="A31" s="102">
        <v>30</v>
      </c>
      <c r="B31" s="104" t="s">
        <v>3855</v>
      </c>
      <c r="C31" s="109" t="s">
        <v>4003</v>
      </c>
      <c r="D31" s="109" t="s">
        <v>4004</v>
      </c>
      <c r="E31" s="109" t="s">
        <v>4005</v>
      </c>
      <c r="F31" s="109" t="s">
        <v>4006</v>
      </c>
      <c r="G31" s="109" t="s">
        <v>4007</v>
      </c>
      <c r="H31" s="109" t="s">
        <v>4008</v>
      </c>
      <c r="I31" s="109" t="s">
        <v>4009</v>
      </c>
      <c r="J31" s="109" t="s">
        <v>4010</v>
      </c>
      <c r="K31" s="109" t="s">
        <v>4011</v>
      </c>
      <c r="L31" s="109" t="s">
        <v>4003</v>
      </c>
      <c r="M31" s="112" t="s">
        <v>3855</v>
      </c>
      <c r="N31" s="109" t="s">
        <v>4012</v>
      </c>
      <c r="O31" s="109" t="s">
        <v>4013</v>
      </c>
      <c r="P31" s="109" t="s">
        <v>4014</v>
      </c>
      <c r="Q31" s="109" t="s">
        <v>4011</v>
      </c>
      <c r="R31" s="109" t="s">
        <v>4015</v>
      </c>
      <c r="S31" s="109" t="s">
        <v>4016</v>
      </c>
      <c r="T31" s="109" t="s">
        <v>3855</v>
      </c>
      <c r="U31" s="109" t="s">
        <v>4012</v>
      </c>
      <c r="V31" s="109" t="s">
        <v>4017</v>
      </c>
      <c r="W31" s="109" t="s">
        <v>4018</v>
      </c>
      <c r="X31" s="109" t="s">
        <v>4019</v>
      </c>
      <c r="Y31" s="109" t="s">
        <v>4020</v>
      </c>
      <c r="Z31" s="109" t="s">
        <v>4010</v>
      </c>
      <c r="AA31" s="109" t="s">
        <v>4021</v>
      </c>
      <c r="AB31" s="109" t="s">
        <v>3855</v>
      </c>
      <c r="AC31" s="112"/>
      <c r="AD31" s="109" t="s">
        <v>4022</v>
      </c>
      <c r="AE31" s="112"/>
      <c r="AF31" s="109" t="s">
        <v>4012</v>
      </c>
      <c r="AG31" s="109" t="s">
        <v>4023</v>
      </c>
      <c r="AH31" s="109" t="s">
        <v>4012</v>
      </c>
      <c r="AI31" s="109" t="s">
        <v>4024</v>
      </c>
      <c r="AJ31" s="109" t="s">
        <v>4024</v>
      </c>
      <c r="AK31" s="109" t="s">
        <v>4012</v>
      </c>
      <c r="AL31" s="109" t="s">
        <v>4025</v>
      </c>
      <c r="AM31" s="109" t="s">
        <v>4021</v>
      </c>
      <c r="AN31" s="109" t="s">
        <v>4026</v>
      </c>
      <c r="AO31" s="109" t="s">
        <v>4010</v>
      </c>
      <c r="AP31" s="109" t="s">
        <v>4024</v>
      </c>
      <c r="AQ31" s="109" t="s">
        <v>4024</v>
      </c>
      <c r="AR31" s="109" t="s">
        <v>4011</v>
      </c>
      <c r="AS31" s="109" t="s">
        <v>4027</v>
      </c>
      <c r="AT31" s="109" t="s">
        <v>4028</v>
      </c>
      <c r="AU31" s="109" t="s">
        <v>4029</v>
      </c>
      <c r="AV31" s="109" t="s">
        <v>4030</v>
      </c>
      <c r="BG31" s="110"/>
    </row>
    <row r="32" spans="1:59">
      <c r="A32" s="102">
        <v>31</v>
      </c>
      <c r="B32" s="102" t="s">
        <v>364</v>
      </c>
      <c r="C32" s="102" t="s">
        <v>426</v>
      </c>
      <c r="D32" s="102" t="s">
        <v>2579</v>
      </c>
      <c r="E32" s="103" t="s">
        <v>464</v>
      </c>
      <c r="F32" s="102" t="s">
        <v>490</v>
      </c>
      <c r="G32" s="102" t="s">
        <v>526</v>
      </c>
      <c r="H32" s="105" t="s">
        <v>1318</v>
      </c>
      <c r="I32" s="102" t="s">
        <v>554</v>
      </c>
      <c r="J32" s="102" t="s">
        <v>582</v>
      </c>
      <c r="K32" s="103" t="s">
        <v>598</v>
      </c>
      <c r="L32" s="102" t="s">
        <v>625</v>
      </c>
      <c r="M32" s="102" t="s">
        <v>364</v>
      </c>
      <c r="N32" s="103" t="s">
        <v>364</v>
      </c>
      <c r="O32" s="103" t="s">
        <v>2746</v>
      </c>
      <c r="P32" s="103" t="s">
        <v>3733</v>
      </c>
      <c r="Q32" s="103" t="s">
        <v>2762</v>
      </c>
      <c r="R32" s="103" t="s">
        <v>2777</v>
      </c>
      <c r="S32" s="103" t="s">
        <v>1368</v>
      </c>
      <c r="T32" s="103" t="s">
        <v>2797</v>
      </c>
      <c r="U32" s="102" t="s">
        <v>376</v>
      </c>
      <c r="V32" s="103" t="s">
        <v>3368</v>
      </c>
      <c r="W32" s="103" t="s">
        <v>364</v>
      </c>
      <c r="X32" s="102" t="s">
        <v>3041</v>
      </c>
      <c r="Y32" s="102" t="s">
        <v>1127</v>
      </c>
      <c r="Z32" s="102" t="s">
        <v>2824</v>
      </c>
      <c r="AA32" s="102" t="s">
        <v>490</v>
      </c>
      <c r="AB32" s="103" t="s">
        <v>364</v>
      </c>
      <c r="AC32" s="103" t="s">
        <v>2655</v>
      </c>
      <c r="AD32" s="102" t="s">
        <v>2855</v>
      </c>
      <c r="AE32" s="103" t="s">
        <v>490</v>
      </c>
      <c r="AF32" s="103" t="s">
        <v>364</v>
      </c>
      <c r="AG32" s="103" t="s">
        <v>3464</v>
      </c>
      <c r="AH32" s="103" t="s">
        <v>3101</v>
      </c>
      <c r="AI32" s="103" t="s">
        <v>2886</v>
      </c>
      <c r="AJ32" s="103" t="s">
        <v>2797</v>
      </c>
      <c r="AK32" s="102" t="s">
        <v>364</v>
      </c>
      <c r="AL32" s="102" t="s">
        <v>490</v>
      </c>
      <c r="AM32" s="102" t="s">
        <v>490</v>
      </c>
      <c r="AN32" s="103" t="s">
        <v>3205</v>
      </c>
      <c r="AO32" s="102" t="s">
        <v>2942</v>
      </c>
      <c r="AP32" s="106" t="s">
        <v>2963</v>
      </c>
      <c r="AQ32" s="102" t="s">
        <v>2963</v>
      </c>
      <c r="AR32" s="103" t="s">
        <v>598</v>
      </c>
      <c r="AS32" s="103" t="s">
        <v>2952</v>
      </c>
      <c r="AT32" s="103" t="s">
        <v>2982</v>
      </c>
      <c r="AU32" s="103" t="s">
        <v>490</v>
      </c>
      <c r="AV32" s="103" t="s">
        <v>2995</v>
      </c>
      <c r="BG32" s="110"/>
    </row>
    <row r="33" spans="1:59" ht="15">
      <c r="A33" s="102">
        <v>32</v>
      </c>
      <c r="B33" s="112" t="s">
        <v>4156</v>
      </c>
      <c r="C33" s="109" t="s">
        <v>4157</v>
      </c>
      <c r="D33" s="109" t="s">
        <v>4158</v>
      </c>
      <c r="E33" s="109" t="s">
        <v>4159</v>
      </c>
      <c r="F33" s="109" t="s">
        <v>4160</v>
      </c>
      <c r="G33" s="109" t="s">
        <v>4161</v>
      </c>
      <c r="H33" s="109" t="s">
        <v>4162</v>
      </c>
      <c r="I33" s="109" t="s">
        <v>4163</v>
      </c>
      <c r="J33" s="109" t="s">
        <v>4164</v>
      </c>
      <c r="K33" s="109" t="s">
        <v>4157</v>
      </c>
      <c r="L33" s="109" t="s">
        <v>4157</v>
      </c>
      <c r="M33" s="112" t="s">
        <v>4156</v>
      </c>
      <c r="N33" s="109" t="s">
        <v>4165</v>
      </c>
      <c r="O33" s="109" t="s">
        <v>4166</v>
      </c>
      <c r="P33" s="109" t="s">
        <v>4167</v>
      </c>
      <c r="Q33" s="109" t="s">
        <v>4168</v>
      </c>
      <c r="R33" s="109" t="s">
        <v>4169</v>
      </c>
      <c r="S33" s="109" t="s">
        <v>4170</v>
      </c>
      <c r="T33" s="109" t="s">
        <v>4171</v>
      </c>
      <c r="U33" s="109" t="s">
        <v>4172</v>
      </c>
      <c r="V33" s="109" t="s">
        <v>4173</v>
      </c>
      <c r="W33" s="109" t="s">
        <v>4156</v>
      </c>
      <c r="X33" s="109" t="s">
        <v>4174</v>
      </c>
      <c r="Y33" s="109" t="s">
        <v>4175</v>
      </c>
      <c r="Z33" s="109" t="s">
        <v>4164</v>
      </c>
      <c r="AA33" s="109" t="s">
        <v>4176</v>
      </c>
      <c r="AB33" s="109" t="s">
        <v>4172</v>
      </c>
      <c r="AC33" s="112"/>
      <c r="AD33" s="109" t="s">
        <v>4177</v>
      </c>
      <c r="AE33" s="112"/>
      <c r="AF33" s="109" t="s">
        <v>4168</v>
      </c>
      <c r="AG33" s="109" t="s">
        <v>4178</v>
      </c>
      <c r="AH33" s="109" t="s">
        <v>4179</v>
      </c>
      <c r="AI33" s="109" t="s">
        <v>4161</v>
      </c>
      <c r="AJ33" s="109" t="s">
        <v>4161</v>
      </c>
      <c r="AK33" s="109" t="s">
        <v>4172</v>
      </c>
      <c r="AL33" s="109" t="s">
        <v>4180</v>
      </c>
      <c r="AM33" s="109" t="s">
        <v>4176</v>
      </c>
      <c r="AN33" s="109" t="s">
        <v>4181</v>
      </c>
      <c r="AO33" s="109" t="s">
        <v>4164</v>
      </c>
      <c r="AP33" s="109" t="s">
        <v>4172</v>
      </c>
      <c r="AQ33" s="109" t="s">
        <v>4172</v>
      </c>
      <c r="AR33" s="109" t="s">
        <v>4182</v>
      </c>
      <c r="AS33" s="109" t="s">
        <v>4183</v>
      </c>
      <c r="AT33" s="109" t="s">
        <v>4184</v>
      </c>
      <c r="AU33" s="109" t="s">
        <v>4185</v>
      </c>
      <c r="AV33" s="109" t="s">
        <v>4186</v>
      </c>
      <c r="BG33" s="110"/>
    </row>
    <row r="34" spans="1:59">
      <c r="A34" s="102">
        <v>33</v>
      </c>
      <c r="B34" s="102" t="s">
        <v>361</v>
      </c>
      <c r="C34" s="102" t="s">
        <v>422</v>
      </c>
      <c r="D34" s="102" t="s">
        <v>2576</v>
      </c>
      <c r="E34" s="103" t="s">
        <v>463</v>
      </c>
      <c r="F34" s="102" t="s">
        <v>487</v>
      </c>
      <c r="G34" s="102" t="s">
        <v>523</v>
      </c>
      <c r="H34" s="105" t="s">
        <v>1314</v>
      </c>
      <c r="I34" s="102" t="s">
        <v>550</v>
      </c>
      <c r="J34" s="102" t="s">
        <v>580</v>
      </c>
      <c r="K34" s="103" t="s">
        <v>597</v>
      </c>
      <c r="L34" s="102" t="s">
        <v>1220</v>
      </c>
      <c r="M34" s="102" t="s">
        <v>361</v>
      </c>
      <c r="N34" s="103" t="s">
        <v>631</v>
      </c>
      <c r="O34" s="103" t="s">
        <v>3673</v>
      </c>
      <c r="P34" s="103" t="s">
        <v>3729</v>
      </c>
      <c r="Q34" s="103" t="s">
        <v>3158</v>
      </c>
      <c r="R34" s="103" t="s">
        <v>3819</v>
      </c>
      <c r="S34" s="103" t="s">
        <v>1364</v>
      </c>
      <c r="T34" s="103" t="s">
        <v>3416</v>
      </c>
      <c r="U34" s="102" t="s">
        <v>373</v>
      </c>
      <c r="V34" s="103" t="s">
        <v>3366</v>
      </c>
      <c r="W34" s="103" t="s">
        <v>523</v>
      </c>
      <c r="X34" s="102" t="s">
        <v>3037</v>
      </c>
      <c r="Y34" s="102" t="s">
        <v>1123</v>
      </c>
      <c r="Z34" s="102" t="s">
        <v>2821</v>
      </c>
      <c r="AA34" s="102" t="s">
        <v>2915</v>
      </c>
      <c r="AB34" s="103" t="s">
        <v>373</v>
      </c>
      <c r="AC34" s="103" t="s">
        <v>2651</v>
      </c>
      <c r="AD34" s="102" t="s">
        <v>2853</v>
      </c>
      <c r="AE34" s="103" t="s">
        <v>3832</v>
      </c>
      <c r="AF34" s="103" t="s">
        <v>3269</v>
      </c>
      <c r="AG34" s="103" t="s">
        <v>3460</v>
      </c>
      <c r="AH34" s="103" t="s">
        <v>3100</v>
      </c>
      <c r="AI34" s="103" t="s">
        <v>2883</v>
      </c>
      <c r="AJ34" s="103" t="s">
        <v>3320</v>
      </c>
      <c r="AK34" s="103" t="s">
        <v>2894</v>
      </c>
      <c r="AL34" s="102" t="s">
        <v>2900</v>
      </c>
      <c r="AM34" s="102" t="s">
        <v>2915</v>
      </c>
      <c r="AN34" s="103" t="s">
        <v>3202</v>
      </c>
      <c r="AO34" s="102" t="s">
        <v>580</v>
      </c>
      <c r="AP34" s="106" t="s">
        <v>1901</v>
      </c>
      <c r="AQ34" s="102" t="s">
        <v>1901</v>
      </c>
      <c r="AR34" s="103" t="s">
        <v>597</v>
      </c>
      <c r="AS34" s="103" t="s">
        <v>2951</v>
      </c>
      <c r="AT34" s="103" t="s">
        <v>2980</v>
      </c>
      <c r="AU34" s="103" t="s">
        <v>864</v>
      </c>
      <c r="AV34" s="103" t="s">
        <v>944</v>
      </c>
      <c r="BG34" s="110"/>
    </row>
    <row r="35" spans="1:59">
      <c r="A35" s="102">
        <v>34</v>
      </c>
      <c r="B35" s="102" t="s">
        <v>391</v>
      </c>
      <c r="C35" s="102" t="s">
        <v>433</v>
      </c>
      <c r="D35" s="102" t="s">
        <v>454</v>
      </c>
      <c r="E35" s="103" t="s">
        <v>2404</v>
      </c>
      <c r="F35" s="102" t="s">
        <v>499</v>
      </c>
      <c r="G35" s="102" t="s">
        <v>533</v>
      </c>
      <c r="H35" s="105" t="s">
        <v>1325</v>
      </c>
      <c r="I35" s="102" t="s">
        <v>559</v>
      </c>
      <c r="J35" s="102" t="s">
        <v>587</v>
      </c>
      <c r="K35" s="103" t="s">
        <v>618</v>
      </c>
      <c r="L35" s="102" t="s">
        <v>433</v>
      </c>
      <c r="M35" s="102" t="s">
        <v>391</v>
      </c>
      <c r="N35" s="103" t="s">
        <v>636</v>
      </c>
      <c r="O35" s="103" t="s">
        <v>2751</v>
      </c>
      <c r="P35" s="103" t="s">
        <v>3748</v>
      </c>
      <c r="Q35" s="103" t="s">
        <v>2764</v>
      </c>
      <c r="R35" s="103" t="s">
        <v>2787</v>
      </c>
      <c r="S35" s="103" t="s">
        <v>1383</v>
      </c>
      <c r="T35" s="103" t="s">
        <v>2803</v>
      </c>
      <c r="U35" s="102" t="s">
        <v>198</v>
      </c>
      <c r="V35" s="103" t="s">
        <v>3379</v>
      </c>
      <c r="W35" s="103" t="s">
        <v>1812</v>
      </c>
      <c r="X35" s="102" t="s">
        <v>3055</v>
      </c>
      <c r="Y35" s="102" t="s">
        <v>1142</v>
      </c>
      <c r="Z35" s="102" t="s">
        <v>2832</v>
      </c>
      <c r="AA35" s="102" t="s">
        <v>2517</v>
      </c>
      <c r="AB35" s="103" t="s">
        <v>198</v>
      </c>
      <c r="AC35" s="103" t="s">
        <v>2670</v>
      </c>
      <c r="AD35" s="102" t="s">
        <v>2863</v>
      </c>
      <c r="AE35" s="103" t="s">
        <v>3846</v>
      </c>
      <c r="AF35" s="103" t="s">
        <v>1704</v>
      </c>
      <c r="AG35" s="103" t="s">
        <v>3478</v>
      </c>
      <c r="AH35" s="103" t="s">
        <v>3104</v>
      </c>
      <c r="AI35" s="103" t="s">
        <v>533</v>
      </c>
      <c r="AJ35" s="103" t="s">
        <v>533</v>
      </c>
      <c r="AK35" s="103" t="s">
        <v>736</v>
      </c>
      <c r="AL35" s="102" t="s">
        <v>2905</v>
      </c>
      <c r="AM35" s="102" t="s">
        <v>2924</v>
      </c>
      <c r="AN35" s="103" t="s">
        <v>3214</v>
      </c>
      <c r="AO35" s="102" t="s">
        <v>587</v>
      </c>
      <c r="AP35" s="106" t="s">
        <v>533</v>
      </c>
      <c r="AQ35" s="102" t="s">
        <v>533</v>
      </c>
      <c r="AR35" s="103" t="s">
        <v>1704</v>
      </c>
      <c r="AS35" s="103" t="s">
        <v>2957</v>
      </c>
      <c r="AT35" s="103" t="s">
        <v>2987</v>
      </c>
      <c r="AU35" s="103" t="s">
        <v>878</v>
      </c>
      <c r="AV35" s="103" t="s">
        <v>3000</v>
      </c>
    </row>
    <row r="36" spans="1:59">
      <c r="A36" s="102">
        <v>35</v>
      </c>
      <c r="B36" s="102" t="s">
        <v>392</v>
      </c>
      <c r="C36" s="102" t="s">
        <v>434</v>
      </c>
      <c r="D36" s="102" t="s">
        <v>2585</v>
      </c>
      <c r="E36" s="103" t="s">
        <v>2405</v>
      </c>
      <c r="F36" s="102" t="s">
        <v>500</v>
      </c>
      <c r="G36" s="102" t="s">
        <v>534</v>
      </c>
      <c r="H36" s="105" t="s">
        <v>1326</v>
      </c>
      <c r="I36" s="102" t="s">
        <v>560</v>
      </c>
      <c r="J36" s="102" t="s">
        <v>588</v>
      </c>
      <c r="K36" s="103" t="s">
        <v>619</v>
      </c>
      <c r="L36" s="102" t="s">
        <v>1221</v>
      </c>
      <c r="M36" s="102" t="s">
        <v>392</v>
      </c>
      <c r="N36" s="103" t="s">
        <v>3624</v>
      </c>
      <c r="O36" s="103" t="s">
        <v>2752</v>
      </c>
      <c r="P36" s="103" t="s">
        <v>3749</v>
      </c>
      <c r="Q36" s="103" t="s">
        <v>2765</v>
      </c>
      <c r="R36" s="103" t="s">
        <v>3060</v>
      </c>
      <c r="S36" s="103" t="s">
        <v>1384</v>
      </c>
      <c r="T36" s="103" t="s">
        <v>3391</v>
      </c>
      <c r="U36" s="102" t="s">
        <v>405</v>
      </c>
      <c r="V36" s="103" t="s">
        <v>3380</v>
      </c>
      <c r="W36" s="103" t="s">
        <v>1813</v>
      </c>
      <c r="X36" s="102" t="s">
        <v>3056</v>
      </c>
      <c r="Y36" s="102" t="s">
        <v>1143</v>
      </c>
      <c r="Z36" s="102" t="s">
        <v>392</v>
      </c>
      <c r="AA36" s="102" t="s">
        <v>2518</v>
      </c>
      <c r="AB36" s="103" t="s">
        <v>1168</v>
      </c>
      <c r="AC36" s="103" t="s">
        <v>2671</v>
      </c>
      <c r="AD36" s="102" t="s">
        <v>392</v>
      </c>
      <c r="AE36" s="103" t="s">
        <v>3847</v>
      </c>
      <c r="AF36" s="103" t="s">
        <v>3272</v>
      </c>
      <c r="AG36" s="103" t="s">
        <v>3479</v>
      </c>
      <c r="AH36" s="103" t="s">
        <v>3105</v>
      </c>
      <c r="AI36" s="103" t="s">
        <v>1260</v>
      </c>
      <c r="AJ36" s="103" t="s">
        <v>1260</v>
      </c>
      <c r="AK36" s="103" t="s">
        <v>737</v>
      </c>
      <c r="AL36" s="102" t="s">
        <v>2906</v>
      </c>
      <c r="AM36" s="102" t="s">
        <v>2925</v>
      </c>
      <c r="AN36" s="103" t="s">
        <v>3215</v>
      </c>
      <c r="AO36" s="102" t="s">
        <v>392</v>
      </c>
      <c r="AP36" s="106" t="s">
        <v>2968</v>
      </c>
      <c r="AQ36" s="102" t="s">
        <v>825</v>
      </c>
      <c r="AR36" s="103" t="s">
        <v>1705</v>
      </c>
      <c r="AS36" s="103" t="s">
        <v>3566</v>
      </c>
      <c r="AT36" s="103" t="s">
        <v>2474</v>
      </c>
      <c r="AU36" s="103" t="s">
        <v>879</v>
      </c>
      <c r="AV36" s="103" t="s">
        <v>3001</v>
      </c>
    </row>
    <row r="37" spans="1:59">
      <c r="A37" s="102">
        <v>36</v>
      </c>
      <c r="B37" s="102" t="s">
        <v>393</v>
      </c>
      <c r="C37" s="102" t="s">
        <v>435</v>
      </c>
      <c r="D37" s="102" t="s">
        <v>2586</v>
      </c>
      <c r="E37" s="103" t="s">
        <v>2406</v>
      </c>
      <c r="F37" s="102" t="s">
        <v>501</v>
      </c>
      <c r="G37" s="102" t="s">
        <v>535</v>
      </c>
      <c r="H37" s="105" t="s">
        <v>1327</v>
      </c>
      <c r="I37" s="103" t="s">
        <v>1724</v>
      </c>
      <c r="J37" s="102" t="s">
        <v>589</v>
      </c>
      <c r="K37" s="103" t="s">
        <v>133</v>
      </c>
      <c r="L37" s="102" t="s">
        <v>1222</v>
      </c>
      <c r="M37" s="102" t="s">
        <v>393</v>
      </c>
      <c r="N37" s="103" t="s">
        <v>3625</v>
      </c>
      <c r="O37" s="103" t="s">
        <v>3675</v>
      </c>
      <c r="P37" s="103" t="s">
        <v>3750</v>
      </c>
      <c r="Q37" s="103" t="s">
        <v>1050</v>
      </c>
      <c r="R37" s="103" t="s">
        <v>3820</v>
      </c>
      <c r="S37" s="103" t="s">
        <v>1385</v>
      </c>
      <c r="T37" s="103" t="s">
        <v>3419</v>
      </c>
      <c r="U37" s="102" t="s">
        <v>3264</v>
      </c>
      <c r="V37" s="103" t="s">
        <v>3381</v>
      </c>
      <c r="W37" s="103" t="s">
        <v>1814</v>
      </c>
      <c r="X37" s="102" t="s">
        <v>3057</v>
      </c>
      <c r="Y37" s="102" t="s">
        <v>1144</v>
      </c>
      <c r="Z37" s="102" t="s">
        <v>2833</v>
      </c>
      <c r="AA37" s="102" t="s">
        <v>2519</v>
      </c>
      <c r="AB37" s="103" t="s">
        <v>1169</v>
      </c>
      <c r="AC37" s="103" t="s">
        <v>2672</v>
      </c>
      <c r="AD37" s="102" t="s">
        <v>2864</v>
      </c>
      <c r="AE37" s="103" t="s">
        <v>3848</v>
      </c>
      <c r="AF37" s="103" t="s">
        <v>3273</v>
      </c>
      <c r="AG37" s="103" t="s">
        <v>3480</v>
      </c>
      <c r="AH37" s="103" t="s">
        <v>3106</v>
      </c>
      <c r="AI37" s="103" t="s">
        <v>1261</v>
      </c>
      <c r="AJ37" s="103" t="s">
        <v>3323</v>
      </c>
      <c r="AK37" s="103" t="s">
        <v>738</v>
      </c>
      <c r="AL37" s="103" t="s">
        <v>796</v>
      </c>
      <c r="AM37" s="102" t="s">
        <v>2926</v>
      </c>
      <c r="AN37" s="103" t="s">
        <v>3216</v>
      </c>
      <c r="AO37" s="102" t="s">
        <v>4277</v>
      </c>
      <c r="AP37" s="106" t="s">
        <v>2969</v>
      </c>
      <c r="AQ37" s="102" t="s">
        <v>826</v>
      </c>
      <c r="AR37" s="103" t="s">
        <v>1906</v>
      </c>
      <c r="AS37" s="103" t="s">
        <v>2487</v>
      </c>
      <c r="AT37" s="103" t="s">
        <v>2475</v>
      </c>
      <c r="AU37" s="103" t="s">
        <v>880</v>
      </c>
      <c r="AV37" s="103" t="s">
        <v>952</v>
      </c>
    </row>
    <row r="38" spans="1:59">
      <c r="A38" s="102">
        <v>37</v>
      </c>
      <c r="B38" s="102" t="s">
        <v>394</v>
      </c>
      <c r="C38" s="102" t="s">
        <v>436</v>
      </c>
      <c r="D38" s="102" t="s">
        <v>2587</v>
      </c>
      <c r="E38" s="103" t="s">
        <v>2407</v>
      </c>
      <c r="F38" s="102" t="s">
        <v>502</v>
      </c>
      <c r="G38" s="102" t="s">
        <v>536</v>
      </c>
      <c r="H38" s="105" t="s">
        <v>1328</v>
      </c>
      <c r="I38" s="103" t="s">
        <v>1725</v>
      </c>
      <c r="J38" s="102" t="s">
        <v>590</v>
      </c>
      <c r="K38" s="103" t="s">
        <v>134</v>
      </c>
      <c r="L38" s="102" t="s">
        <v>1223</v>
      </c>
      <c r="M38" s="102" t="s">
        <v>394</v>
      </c>
      <c r="N38" s="103" t="s">
        <v>3626</v>
      </c>
      <c r="O38" s="103" t="s">
        <v>3676</v>
      </c>
      <c r="P38" s="103" t="s">
        <v>3751</v>
      </c>
      <c r="Q38" s="103" t="s">
        <v>2766</v>
      </c>
      <c r="R38" s="103" t="s">
        <v>3061</v>
      </c>
      <c r="S38" s="103" t="s">
        <v>1386</v>
      </c>
      <c r="T38" s="103" t="s">
        <v>3420</v>
      </c>
      <c r="U38" s="102" t="s">
        <v>406</v>
      </c>
      <c r="V38" s="103" t="s">
        <v>3382</v>
      </c>
      <c r="W38" s="103" t="s">
        <v>2814</v>
      </c>
      <c r="X38" s="102" t="s">
        <v>3058</v>
      </c>
      <c r="Y38" s="102" t="s">
        <v>1145</v>
      </c>
      <c r="Z38" s="102" t="s">
        <v>2834</v>
      </c>
      <c r="AA38" s="102" t="s">
        <v>2520</v>
      </c>
      <c r="AB38" s="103" t="s">
        <v>1170</v>
      </c>
      <c r="AC38" s="103" t="s">
        <v>2673</v>
      </c>
      <c r="AD38" s="102" t="s">
        <v>2865</v>
      </c>
      <c r="AE38" s="103" t="s">
        <v>3849</v>
      </c>
      <c r="AF38" s="103" t="s">
        <v>3274</v>
      </c>
      <c r="AG38" s="103" t="s">
        <v>3481</v>
      </c>
      <c r="AH38" s="103" t="s">
        <v>3107</v>
      </c>
      <c r="AI38" s="103" t="s">
        <v>1262</v>
      </c>
      <c r="AJ38" s="103" t="s">
        <v>1262</v>
      </c>
      <c r="AK38" s="103" t="s">
        <v>739</v>
      </c>
      <c r="AL38" s="103" t="s">
        <v>797</v>
      </c>
      <c r="AM38" s="102" t="s">
        <v>2927</v>
      </c>
      <c r="AN38" s="103" t="s">
        <v>3217</v>
      </c>
      <c r="AO38" s="102" t="s">
        <v>4278</v>
      </c>
      <c r="AP38" s="106" t="s">
        <v>2970</v>
      </c>
      <c r="AQ38" s="102" t="s">
        <v>2970</v>
      </c>
      <c r="AR38" s="103" t="s">
        <v>1706</v>
      </c>
      <c r="AS38" s="103" t="s">
        <v>2488</v>
      </c>
      <c r="AT38" s="103" t="s">
        <v>2988</v>
      </c>
      <c r="AU38" s="103" t="s">
        <v>881</v>
      </c>
      <c r="AV38" s="103" t="s">
        <v>953</v>
      </c>
    </row>
    <row r="39" spans="1:59">
      <c r="A39" s="102">
        <v>38</v>
      </c>
      <c r="B39" s="102" t="s">
        <v>395</v>
      </c>
      <c r="C39" s="102" t="s">
        <v>395</v>
      </c>
      <c r="D39" s="102" t="s">
        <v>2588</v>
      </c>
      <c r="E39" s="103" t="s">
        <v>2408</v>
      </c>
      <c r="F39" s="102" t="s">
        <v>503</v>
      </c>
      <c r="G39" s="102" t="s">
        <v>537</v>
      </c>
      <c r="H39" s="105" t="s">
        <v>1329</v>
      </c>
      <c r="I39" s="103" t="s">
        <v>1726</v>
      </c>
      <c r="J39" s="102" t="s">
        <v>395</v>
      </c>
      <c r="K39" s="103" t="s">
        <v>135</v>
      </c>
      <c r="L39" s="102" t="s">
        <v>1224</v>
      </c>
      <c r="M39" s="102" t="s">
        <v>395</v>
      </c>
      <c r="N39" s="103" t="s">
        <v>3627</v>
      </c>
      <c r="O39" s="103" t="s">
        <v>2753</v>
      </c>
      <c r="P39" s="103" t="s">
        <v>3752</v>
      </c>
      <c r="Q39" s="103" t="s">
        <v>3159</v>
      </c>
      <c r="R39" s="103" t="s">
        <v>3821</v>
      </c>
      <c r="S39" s="103" t="s">
        <v>1387</v>
      </c>
      <c r="T39" s="103" t="s">
        <v>3421</v>
      </c>
      <c r="U39" s="102" t="s">
        <v>407</v>
      </c>
      <c r="V39" s="114" t="s">
        <v>3383</v>
      </c>
      <c r="W39" s="103" t="s">
        <v>1815</v>
      </c>
      <c r="X39" s="102" t="s">
        <v>1101</v>
      </c>
      <c r="Y39" s="102" t="s">
        <v>1146</v>
      </c>
      <c r="Z39" s="102" t="s">
        <v>2835</v>
      </c>
      <c r="AA39" s="102" t="s">
        <v>2573</v>
      </c>
      <c r="AB39" s="103" t="s">
        <v>1171</v>
      </c>
      <c r="AC39" s="103" t="s">
        <v>2674</v>
      </c>
      <c r="AD39" s="102" t="s">
        <v>395</v>
      </c>
      <c r="AE39" s="103" t="s">
        <v>3850</v>
      </c>
      <c r="AF39" s="103" t="s">
        <v>3275</v>
      </c>
      <c r="AG39" s="103" t="s">
        <v>3482</v>
      </c>
      <c r="AH39" s="103" t="s">
        <v>3108</v>
      </c>
      <c r="AI39" s="103" t="s">
        <v>1263</v>
      </c>
      <c r="AJ39" s="103" t="s">
        <v>3324</v>
      </c>
      <c r="AK39" s="103" t="s">
        <v>740</v>
      </c>
      <c r="AL39" s="103" t="s">
        <v>798</v>
      </c>
      <c r="AM39" s="102" t="s">
        <v>2928</v>
      </c>
      <c r="AN39" s="103" t="s">
        <v>3218</v>
      </c>
      <c r="AO39" s="102" t="s">
        <v>4279</v>
      </c>
      <c r="AP39" s="106" t="s">
        <v>2971</v>
      </c>
      <c r="AQ39" s="102" t="s">
        <v>827</v>
      </c>
      <c r="AR39" s="103" t="s">
        <v>1907</v>
      </c>
      <c r="AS39" s="103" t="s">
        <v>2489</v>
      </c>
      <c r="AT39" s="103" t="s">
        <v>2476</v>
      </c>
      <c r="AU39" s="103" t="s">
        <v>882</v>
      </c>
      <c r="AV39" s="103" t="s">
        <v>954</v>
      </c>
    </row>
    <row r="40" spans="1:59">
      <c r="A40" s="102">
        <v>39</v>
      </c>
      <c r="B40" s="102" t="s">
        <v>381</v>
      </c>
      <c r="C40" s="102" t="s">
        <v>437</v>
      </c>
      <c r="D40" s="102" t="s">
        <v>2589</v>
      </c>
      <c r="E40" s="103" t="s">
        <v>471</v>
      </c>
      <c r="F40" s="102" t="s">
        <v>504</v>
      </c>
      <c r="G40" s="102" t="s">
        <v>408</v>
      </c>
      <c r="H40" s="105" t="s">
        <v>1330</v>
      </c>
      <c r="I40" s="103" t="s">
        <v>1727</v>
      </c>
      <c r="J40" s="102" t="s">
        <v>591</v>
      </c>
      <c r="K40" s="103" t="s">
        <v>2767</v>
      </c>
      <c r="L40" s="102" t="s">
        <v>437</v>
      </c>
      <c r="M40" s="102" t="s">
        <v>381</v>
      </c>
      <c r="N40" s="103" t="s">
        <v>3628</v>
      </c>
      <c r="O40" s="103" t="s">
        <v>2754</v>
      </c>
      <c r="P40" s="103" t="s">
        <v>3753</v>
      </c>
      <c r="Q40" s="103" t="s">
        <v>2767</v>
      </c>
      <c r="R40" s="103" t="s">
        <v>3822</v>
      </c>
      <c r="S40" s="103" t="s">
        <v>1388</v>
      </c>
      <c r="T40" s="103" t="s">
        <v>3392</v>
      </c>
      <c r="U40" s="102" t="s">
        <v>408</v>
      </c>
      <c r="V40" s="103" t="s">
        <v>3384</v>
      </c>
      <c r="W40" s="103" t="s">
        <v>2815</v>
      </c>
      <c r="X40" s="102" t="s">
        <v>1102</v>
      </c>
      <c r="Y40" s="102" t="s">
        <v>1147</v>
      </c>
      <c r="Z40" s="102" t="s">
        <v>2836</v>
      </c>
      <c r="AA40" s="102" t="s">
        <v>504</v>
      </c>
      <c r="AB40" s="103" t="s">
        <v>1172</v>
      </c>
      <c r="AC40" s="103" t="s">
        <v>2675</v>
      </c>
      <c r="AD40" s="102" t="s">
        <v>2866</v>
      </c>
      <c r="AE40" s="103" t="s">
        <v>3851</v>
      </c>
      <c r="AF40" s="103" t="s">
        <v>2767</v>
      </c>
      <c r="AG40" s="103" t="s">
        <v>3483</v>
      </c>
      <c r="AH40" s="103" t="s">
        <v>591</v>
      </c>
      <c r="AI40" s="103" t="s">
        <v>2891</v>
      </c>
      <c r="AJ40" s="103" t="s">
        <v>2891</v>
      </c>
      <c r="AK40" s="103" t="s">
        <v>591</v>
      </c>
      <c r="AL40" s="103" t="s">
        <v>2907</v>
      </c>
      <c r="AM40" s="102" t="s">
        <v>504</v>
      </c>
      <c r="AN40" s="103" t="s">
        <v>2945</v>
      </c>
      <c r="AO40" s="102" t="s">
        <v>4280</v>
      </c>
      <c r="AP40" s="106" t="s">
        <v>2891</v>
      </c>
      <c r="AQ40" s="102" t="s">
        <v>2891</v>
      </c>
      <c r="AR40" s="103" t="s">
        <v>2866</v>
      </c>
      <c r="AS40" s="103" t="s">
        <v>2958</v>
      </c>
      <c r="AT40" s="103" t="s">
        <v>408</v>
      </c>
      <c r="AU40" s="103" t="s">
        <v>504</v>
      </c>
      <c r="AV40" s="103" t="s">
        <v>955</v>
      </c>
    </row>
    <row r="41" spans="1:59">
      <c r="A41" s="102">
        <v>40</v>
      </c>
      <c r="B41" s="102" t="s">
        <v>2178</v>
      </c>
      <c r="C41" s="102" t="s">
        <v>438</v>
      </c>
      <c r="D41" s="102" t="s">
        <v>455</v>
      </c>
      <c r="E41" s="103" t="s">
        <v>2409</v>
      </c>
      <c r="F41" s="102" t="s">
        <v>505</v>
      </c>
      <c r="G41" s="102" t="s">
        <v>455</v>
      </c>
      <c r="H41" s="105" t="s">
        <v>481</v>
      </c>
      <c r="I41" s="102" t="s">
        <v>481</v>
      </c>
      <c r="J41" s="102" t="s">
        <v>438</v>
      </c>
      <c r="K41" s="103" t="s">
        <v>620</v>
      </c>
      <c r="L41" s="102" t="s">
        <v>438</v>
      </c>
      <c r="M41" s="102" t="s">
        <v>2178</v>
      </c>
      <c r="N41" s="103" t="s">
        <v>3629</v>
      </c>
      <c r="O41" s="103" t="s">
        <v>2178</v>
      </c>
      <c r="P41" s="103" t="s">
        <v>3754</v>
      </c>
      <c r="Q41" s="103" t="s">
        <v>438</v>
      </c>
      <c r="R41" s="103" t="s">
        <v>2788</v>
      </c>
      <c r="S41" s="103" t="s">
        <v>1389</v>
      </c>
      <c r="T41" s="103" t="s">
        <v>2804</v>
      </c>
      <c r="U41" s="102" t="s">
        <v>409</v>
      </c>
      <c r="V41" s="103" t="s">
        <v>3385</v>
      </c>
      <c r="W41" s="103" t="s">
        <v>455</v>
      </c>
      <c r="X41" s="102" t="s">
        <v>1103</v>
      </c>
      <c r="Y41" s="102" t="s">
        <v>1148</v>
      </c>
      <c r="Z41" s="102" t="s">
        <v>455</v>
      </c>
      <c r="AA41" s="102" t="s">
        <v>505</v>
      </c>
      <c r="AB41" s="103" t="s">
        <v>2848</v>
      </c>
      <c r="AC41" s="103" t="s">
        <v>2676</v>
      </c>
      <c r="AD41" s="102" t="s">
        <v>455</v>
      </c>
      <c r="AE41" s="103" t="s">
        <v>3852</v>
      </c>
      <c r="AF41" s="103" t="s">
        <v>620</v>
      </c>
      <c r="AG41" s="103" t="s">
        <v>3484</v>
      </c>
      <c r="AH41" s="103" t="s">
        <v>455</v>
      </c>
      <c r="AI41" s="103" t="s">
        <v>455</v>
      </c>
      <c r="AJ41" s="103" t="s">
        <v>455</v>
      </c>
      <c r="AK41" s="103" t="s">
        <v>455</v>
      </c>
      <c r="AL41" s="103" t="s">
        <v>505</v>
      </c>
      <c r="AM41" s="102" t="s">
        <v>2929</v>
      </c>
      <c r="AN41" s="103" t="s">
        <v>2804</v>
      </c>
      <c r="AO41" s="102" t="s">
        <v>438</v>
      </c>
      <c r="AP41" s="106" t="s">
        <v>2972</v>
      </c>
      <c r="AQ41" s="102" t="s">
        <v>2972</v>
      </c>
      <c r="AR41" s="103" t="s">
        <v>438</v>
      </c>
      <c r="AS41" s="103" t="s">
        <v>3567</v>
      </c>
      <c r="AT41" s="103" t="s">
        <v>2989</v>
      </c>
      <c r="AU41" s="103" t="s">
        <v>505</v>
      </c>
      <c r="AV41" s="103" t="s">
        <v>3002</v>
      </c>
    </row>
    <row r="42" spans="1:59">
      <c r="A42" s="102">
        <v>41</v>
      </c>
      <c r="B42" s="102" t="s">
        <v>2199</v>
      </c>
      <c r="C42" s="102" t="s">
        <v>439</v>
      </c>
      <c r="D42" s="102" t="s">
        <v>456</v>
      </c>
      <c r="E42" s="103" t="s">
        <v>2410</v>
      </c>
      <c r="F42" s="102" t="s">
        <v>506</v>
      </c>
      <c r="G42" s="102" t="s">
        <v>538</v>
      </c>
      <c r="H42" s="105" t="s">
        <v>1331</v>
      </c>
      <c r="I42" s="102" t="s">
        <v>561</v>
      </c>
      <c r="J42" s="102" t="s">
        <v>592</v>
      </c>
      <c r="K42" s="103" t="s">
        <v>439</v>
      </c>
      <c r="L42" s="102" t="s">
        <v>439</v>
      </c>
      <c r="M42" s="102" t="s">
        <v>2199</v>
      </c>
      <c r="N42" s="103" t="s">
        <v>3630</v>
      </c>
      <c r="O42" s="103" t="s">
        <v>2755</v>
      </c>
      <c r="P42" s="103" t="s">
        <v>3755</v>
      </c>
      <c r="Q42" s="103" t="s">
        <v>439</v>
      </c>
      <c r="R42" s="103" t="s">
        <v>2789</v>
      </c>
      <c r="S42" s="103" t="s">
        <v>1390</v>
      </c>
      <c r="T42" s="103" t="s">
        <v>2805</v>
      </c>
      <c r="U42" s="102" t="s">
        <v>410</v>
      </c>
      <c r="V42" s="103" t="s">
        <v>439</v>
      </c>
      <c r="W42" s="103" t="s">
        <v>1816</v>
      </c>
      <c r="X42" s="102" t="s">
        <v>1104</v>
      </c>
      <c r="Y42" s="102" t="s">
        <v>1149</v>
      </c>
      <c r="Z42" s="102" t="s">
        <v>2837</v>
      </c>
      <c r="AA42" s="102" t="s">
        <v>2521</v>
      </c>
      <c r="AB42" s="103" t="s">
        <v>410</v>
      </c>
      <c r="AC42" s="103" t="s">
        <v>2677</v>
      </c>
      <c r="AD42" s="102" t="s">
        <v>2867</v>
      </c>
      <c r="AE42" s="103" t="s">
        <v>3853</v>
      </c>
      <c r="AF42" s="103" t="s">
        <v>439</v>
      </c>
      <c r="AG42" s="103" t="s">
        <v>3485</v>
      </c>
      <c r="AH42" s="103" t="s">
        <v>2879</v>
      </c>
      <c r="AI42" s="103" t="s">
        <v>538</v>
      </c>
      <c r="AJ42" s="103" t="s">
        <v>538</v>
      </c>
      <c r="AK42" s="103" t="s">
        <v>741</v>
      </c>
      <c r="AL42" s="103" t="s">
        <v>799</v>
      </c>
      <c r="AM42" s="102" t="s">
        <v>2930</v>
      </c>
      <c r="AN42" s="103" t="s">
        <v>3219</v>
      </c>
      <c r="AO42" s="102" t="s">
        <v>592</v>
      </c>
      <c r="AP42" s="106" t="s">
        <v>538</v>
      </c>
      <c r="AQ42" s="102" t="s">
        <v>538</v>
      </c>
      <c r="AR42" s="103" t="s">
        <v>439</v>
      </c>
      <c r="AS42" s="103" t="s">
        <v>2959</v>
      </c>
      <c r="AT42" s="103" t="s">
        <v>2990</v>
      </c>
      <c r="AU42" s="103" t="s">
        <v>883</v>
      </c>
      <c r="AV42" s="103" t="s">
        <v>956</v>
      </c>
    </row>
    <row r="43" spans="1:59">
      <c r="A43" s="102">
        <v>42</v>
      </c>
      <c r="B43" s="102" t="s">
        <v>396</v>
      </c>
      <c r="C43" s="102" t="s">
        <v>440</v>
      </c>
      <c r="D43" s="102" t="s">
        <v>593</v>
      </c>
      <c r="E43" s="103" t="s">
        <v>472</v>
      </c>
      <c r="F43" s="102" t="s">
        <v>507</v>
      </c>
      <c r="G43" s="102" t="s">
        <v>539</v>
      </c>
      <c r="H43" s="105" t="s">
        <v>1332</v>
      </c>
      <c r="I43" s="103" t="s">
        <v>1728</v>
      </c>
      <c r="J43" s="102" t="s">
        <v>593</v>
      </c>
      <c r="K43" s="103" t="s">
        <v>396</v>
      </c>
      <c r="L43" s="103" t="s">
        <v>174</v>
      </c>
      <c r="M43" s="102" t="s">
        <v>396</v>
      </c>
      <c r="N43" s="103" t="s">
        <v>3631</v>
      </c>
      <c r="O43" s="103" t="s">
        <v>396</v>
      </c>
      <c r="P43" s="103" t="s">
        <v>3756</v>
      </c>
      <c r="Q43" s="103" t="s">
        <v>2768</v>
      </c>
      <c r="R43" s="103" t="s">
        <v>2790</v>
      </c>
      <c r="S43" s="103" t="s">
        <v>1391</v>
      </c>
      <c r="T43" s="103" t="s">
        <v>3422</v>
      </c>
      <c r="U43" s="102" t="s">
        <v>411</v>
      </c>
      <c r="V43" s="103" t="s">
        <v>3383</v>
      </c>
      <c r="W43" s="103" t="s">
        <v>1817</v>
      </c>
      <c r="X43" s="102" t="s">
        <v>1105</v>
      </c>
      <c r="Y43" s="102" t="s">
        <v>1150</v>
      </c>
      <c r="Z43" s="102" t="s">
        <v>2838</v>
      </c>
      <c r="AA43" s="102" t="s">
        <v>507</v>
      </c>
      <c r="AB43" s="103" t="s">
        <v>1173</v>
      </c>
      <c r="AC43" s="103" t="s">
        <v>2678</v>
      </c>
      <c r="AD43" s="102" t="s">
        <v>396</v>
      </c>
      <c r="AE43" s="103" t="s">
        <v>638</v>
      </c>
      <c r="AF43" s="103" t="s">
        <v>1908</v>
      </c>
      <c r="AG43" s="103" t="s">
        <v>3486</v>
      </c>
      <c r="AH43" s="103" t="s">
        <v>3109</v>
      </c>
      <c r="AI43" s="103" t="s">
        <v>1063</v>
      </c>
      <c r="AJ43" s="103" t="s">
        <v>1063</v>
      </c>
      <c r="AK43" s="103" t="s">
        <v>742</v>
      </c>
      <c r="AL43" s="103" t="s">
        <v>800</v>
      </c>
      <c r="AM43" s="102" t="s">
        <v>2931</v>
      </c>
      <c r="AN43" s="103" t="s">
        <v>3220</v>
      </c>
      <c r="AO43" s="102" t="s">
        <v>4281</v>
      </c>
      <c r="AP43" s="106" t="s">
        <v>1063</v>
      </c>
      <c r="AQ43" s="102" t="s">
        <v>1063</v>
      </c>
      <c r="AR43" s="103" t="s">
        <v>1908</v>
      </c>
      <c r="AS43" s="103" t="s">
        <v>3568</v>
      </c>
      <c r="AT43" s="103" t="s">
        <v>2477</v>
      </c>
      <c r="AU43" s="103" t="s">
        <v>884</v>
      </c>
      <c r="AV43" s="103" t="s">
        <v>957</v>
      </c>
    </row>
    <row r="44" spans="1:59">
      <c r="A44" s="102">
        <v>43</v>
      </c>
      <c r="B44" s="102" t="s">
        <v>2179</v>
      </c>
      <c r="C44" s="102" t="s">
        <v>441</v>
      </c>
      <c r="D44" s="102" t="s">
        <v>457</v>
      </c>
      <c r="E44" s="103" t="s">
        <v>2411</v>
      </c>
      <c r="F44" s="102" t="s">
        <v>508</v>
      </c>
      <c r="G44" s="102" t="s">
        <v>540</v>
      </c>
      <c r="H44" s="105" t="s">
        <v>1333</v>
      </c>
      <c r="I44" s="102" t="s">
        <v>1106</v>
      </c>
      <c r="J44" s="102" t="s">
        <v>594</v>
      </c>
      <c r="K44" s="103" t="s">
        <v>136</v>
      </c>
      <c r="L44" s="103" t="s">
        <v>628</v>
      </c>
      <c r="M44" s="102" t="s">
        <v>2179</v>
      </c>
      <c r="N44" s="103" t="s">
        <v>3632</v>
      </c>
      <c r="O44" s="103" t="s">
        <v>2756</v>
      </c>
      <c r="P44" s="103" t="s">
        <v>3757</v>
      </c>
      <c r="Q44" s="103" t="s">
        <v>1051</v>
      </c>
      <c r="R44" s="103" t="s">
        <v>3823</v>
      </c>
      <c r="S44" s="103" t="s">
        <v>1392</v>
      </c>
      <c r="T44" s="103" t="s">
        <v>3393</v>
      </c>
      <c r="U44" s="102" t="s">
        <v>412</v>
      </c>
      <c r="V44" s="103" t="s">
        <v>3386</v>
      </c>
      <c r="W44" s="103" t="s">
        <v>1818</v>
      </c>
      <c r="X44" s="102" t="s">
        <v>1106</v>
      </c>
      <c r="Y44" s="102" t="s">
        <v>1151</v>
      </c>
      <c r="Z44" s="102" t="s">
        <v>2839</v>
      </c>
      <c r="AA44" s="102" t="s">
        <v>508</v>
      </c>
      <c r="AB44" s="103" t="s">
        <v>1174</v>
      </c>
      <c r="AC44" s="103" t="s">
        <v>2679</v>
      </c>
      <c r="AD44" s="102" t="s">
        <v>2868</v>
      </c>
      <c r="AE44" s="103" t="s">
        <v>639</v>
      </c>
      <c r="AF44" s="103" t="s">
        <v>621</v>
      </c>
      <c r="AG44" s="103" t="s">
        <v>3487</v>
      </c>
      <c r="AH44" s="103" t="s">
        <v>2880</v>
      </c>
      <c r="AI44" s="103" t="s">
        <v>1264</v>
      </c>
      <c r="AJ44" s="103" t="s">
        <v>2816</v>
      </c>
      <c r="AK44" s="103" t="s">
        <v>2896</v>
      </c>
      <c r="AL44" s="102" t="s">
        <v>2908</v>
      </c>
      <c r="AM44" s="102" t="s">
        <v>508</v>
      </c>
      <c r="AN44" s="103" t="s">
        <v>2946</v>
      </c>
      <c r="AO44" s="102" t="s">
        <v>4282</v>
      </c>
      <c r="AP44" s="106" t="s">
        <v>1867</v>
      </c>
      <c r="AQ44" s="102" t="s">
        <v>828</v>
      </c>
      <c r="AR44" s="103" t="s">
        <v>621</v>
      </c>
      <c r="AS44" s="103" t="s">
        <v>2960</v>
      </c>
      <c r="AT44" s="103" t="s">
        <v>2478</v>
      </c>
      <c r="AU44" s="103" t="s">
        <v>885</v>
      </c>
      <c r="AV44" s="103" t="s">
        <v>3003</v>
      </c>
    </row>
    <row r="45" spans="1:59">
      <c r="A45" s="102">
        <v>44</v>
      </c>
      <c r="B45" s="102" t="s">
        <v>397</v>
      </c>
      <c r="C45" s="102" t="s">
        <v>442</v>
      </c>
      <c r="D45" s="102" t="s">
        <v>2590</v>
      </c>
      <c r="E45" s="103" t="s">
        <v>2412</v>
      </c>
      <c r="F45" s="102" t="s">
        <v>509</v>
      </c>
      <c r="G45" s="102" t="s">
        <v>541</v>
      </c>
      <c r="H45" s="103" t="s">
        <v>4187</v>
      </c>
      <c r="I45" s="103" t="s">
        <v>1729</v>
      </c>
      <c r="J45" s="102" t="s">
        <v>458</v>
      </c>
      <c r="K45" s="103" t="s">
        <v>137</v>
      </c>
      <c r="L45" s="103" t="s">
        <v>175</v>
      </c>
      <c r="M45" s="102" t="s">
        <v>397</v>
      </c>
      <c r="N45" s="103" t="s">
        <v>3633</v>
      </c>
      <c r="O45" s="103" t="s">
        <v>3677</v>
      </c>
      <c r="P45" s="103" t="s">
        <v>3758</v>
      </c>
      <c r="Q45" s="103" t="s">
        <v>1053</v>
      </c>
      <c r="R45" s="103" t="s">
        <v>2791</v>
      </c>
      <c r="S45" s="103" t="s">
        <v>1393</v>
      </c>
      <c r="T45" s="103" t="s">
        <v>2806</v>
      </c>
      <c r="U45" s="102" t="s">
        <v>3265</v>
      </c>
      <c r="V45" s="114" t="s">
        <v>3387</v>
      </c>
      <c r="W45" s="103" t="s">
        <v>2641</v>
      </c>
      <c r="X45" s="102" t="s">
        <v>1107</v>
      </c>
      <c r="Y45" s="102" t="s">
        <v>1152</v>
      </c>
      <c r="Z45" s="102" t="s">
        <v>458</v>
      </c>
      <c r="AA45" s="102" t="s">
        <v>2522</v>
      </c>
      <c r="AB45" s="103" t="s">
        <v>1175</v>
      </c>
      <c r="AC45" s="103" t="s">
        <v>2680</v>
      </c>
      <c r="AD45" s="102" t="s">
        <v>2869</v>
      </c>
      <c r="AE45" s="103" t="s">
        <v>640</v>
      </c>
      <c r="AF45" s="103" t="s">
        <v>3276</v>
      </c>
      <c r="AG45" s="103" t="s">
        <v>3488</v>
      </c>
      <c r="AH45" s="103" t="s">
        <v>3110</v>
      </c>
      <c r="AI45" s="103" t="s">
        <v>1265</v>
      </c>
      <c r="AJ45" s="103" t="s">
        <v>2483</v>
      </c>
      <c r="AK45" s="103" t="s">
        <v>743</v>
      </c>
      <c r="AL45" s="103" t="s">
        <v>801</v>
      </c>
      <c r="AM45" s="102" t="s">
        <v>2932</v>
      </c>
      <c r="AN45" s="103" t="s">
        <v>3221</v>
      </c>
      <c r="AO45" s="102" t="s">
        <v>4283</v>
      </c>
      <c r="AP45" s="106" t="s">
        <v>1064</v>
      </c>
      <c r="AQ45" s="102" t="s">
        <v>1064</v>
      </c>
      <c r="AR45" s="103" t="s">
        <v>1909</v>
      </c>
      <c r="AS45" s="103" t="s">
        <v>3569</v>
      </c>
      <c r="AT45" s="103" t="s">
        <v>2479</v>
      </c>
      <c r="AU45" s="115" t="s">
        <v>886</v>
      </c>
      <c r="AV45" s="103" t="s">
        <v>958</v>
      </c>
    </row>
    <row r="46" spans="1:59">
      <c r="A46" s="102">
        <v>45</v>
      </c>
      <c r="B46" s="102" t="s">
        <v>398</v>
      </c>
      <c r="C46" s="102" t="s">
        <v>443</v>
      </c>
      <c r="D46" s="102" t="s">
        <v>2591</v>
      </c>
      <c r="E46" s="103" t="s">
        <v>2413</v>
      </c>
      <c r="F46" s="102" t="s">
        <v>510</v>
      </c>
      <c r="G46" s="102" t="s">
        <v>542</v>
      </c>
      <c r="H46" s="105" t="s">
        <v>1334</v>
      </c>
      <c r="I46" s="103" t="s">
        <v>1730</v>
      </c>
      <c r="J46" s="102" t="s">
        <v>398</v>
      </c>
      <c r="K46" s="103" t="s">
        <v>622</v>
      </c>
      <c r="L46" s="103" t="s">
        <v>176</v>
      </c>
      <c r="M46" s="102" t="s">
        <v>398</v>
      </c>
      <c r="N46" s="103" t="s">
        <v>3634</v>
      </c>
      <c r="O46" s="103" t="s">
        <v>3678</v>
      </c>
      <c r="P46" s="103" t="s">
        <v>3759</v>
      </c>
      <c r="Q46" s="103" t="s">
        <v>2769</v>
      </c>
      <c r="R46" s="103" t="s">
        <v>3824</v>
      </c>
      <c r="S46" s="103" t="s">
        <v>1394</v>
      </c>
      <c r="T46" s="103" t="s">
        <v>3423</v>
      </c>
      <c r="U46" s="102" t="s">
        <v>3266</v>
      </c>
      <c r="V46" s="103" t="s">
        <v>3388</v>
      </c>
      <c r="W46" s="103" t="s">
        <v>2817</v>
      </c>
      <c r="X46" s="102" t="s">
        <v>1108</v>
      </c>
      <c r="Y46" s="102" t="s">
        <v>1153</v>
      </c>
      <c r="Z46" s="102" t="s">
        <v>398</v>
      </c>
      <c r="AA46" s="102" t="s">
        <v>2523</v>
      </c>
      <c r="AB46" s="103" t="s">
        <v>1176</v>
      </c>
      <c r="AC46" s="103" t="s">
        <v>2681</v>
      </c>
      <c r="AD46" s="102" t="s">
        <v>398</v>
      </c>
      <c r="AE46" s="103" t="s">
        <v>641</v>
      </c>
      <c r="AF46" s="103" t="s">
        <v>622</v>
      </c>
      <c r="AG46" s="103" t="s">
        <v>3489</v>
      </c>
      <c r="AH46" s="103" t="s">
        <v>3111</v>
      </c>
      <c r="AI46" s="103" t="s">
        <v>1266</v>
      </c>
      <c r="AJ46" s="103" t="s">
        <v>3325</v>
      </c>
      <c r="AK46" s="103" t="s">
        <v>744</v>
      </c>
      <c r="AL46" s="103" t="s">
        <v>802</v>
      </c>
      <c r="AM46" s="102" t="s">
        <v>2933</v>
      </c>
      <c r="AN46" s="103" t="s">
        <v>3222</v>
      </c>
      <c r="AO46" s="102" t="s">
        <v>4284</v>
      </c>
      <c r="AP46" s="106" t="s">
        <v>2973</v>
      </c>
      <c r="AQ46" s="102" t="s">
        <v>2973</v>
      </c>
      <c r="AR46" s="103" t="s">
        <v>1707</v>
      </c>
      <c r="AS46" s="103" t="s">
        <v>2490</v>
      </c>
      <c r="AT46" s="103" t="s">
        <v>2992</v>
      </c>
      <c r="AU46" s="103" t="s">
        <v>887</v>
      </c>
      <c r="AV46" s="103" t="s">
        <v>959</v>
      </c>
    </row>
    <row r="47" spans="1:59">
      <c r="A47" s="102">
        <v>46</v>
      </c>
      <c r="B47" s="102" t="s">
        <v>399</v>
      </c>
      <c r="C47" s="102" t="s">
        <v>399</v>
      </c>
      <c r="D47" s="102" t="s">
        <v>2592</v>
      </c>
      <c r="E47" s="103" t="s">
        <v>2414</v>
      </c>
      <c r="F47" s="102" t="s">
        <v>511</v>
      </c>
      <c r="G47" s="102" t="s">
        <v>543</v>
      </c>
      <c r="H47" s="105" t="s">
        <v>1335</v>
      </c>
      <c r="I47" s="103" t="s">
        <v>1731</v>
      </c>
      <c r="J47" s="102" t="s">
        <v>399</v>
      </c>
      <c r="K47" s="103" t="s">
        <v>1708</v>
      </c>
      <c r="L47" s="103" t="s">
        <v>177</v>
      </c>
      <c r="M47" s="102" t="s">
        <v>399</v>
      </c>
      <c r="N47" s="111" t="s">
        <v>3635</v>
      </c>
      <c r="O47" s="103" t="s">
        <v>2757</v>
      </c>
      <c r="P47" s="103" t="s">
        <v>3760</v>
      </c>
      <c r="Q47" s="103" t="s">
        <v>1054</v>
      </c>
      <c r="R47" s="103" t="s">
        <v>3825</v>
      </c>
      <c r="S47" s="103" t="s">
        <v>1395</v>
      </c>
      <c r="T47" s="103" t="s">
        <v>3424</v>
      </c>
      <c r="U47" s="102" t="s">
        <v>3267</v>
      </c>
      <c r="V47" s="103" t="s">
        <v>3389</v>
      </c>
      <c r="W47" s="103" t="s">
        <v>623</v>
      </c>
      <c r="X47" s="102" t="s">
        <v>1109</v>
      </c>
      <c r="Y47" s="102" t="s">
        <v>1154</v>
      </c>
      <c r="Z47" s="102" t="s">
        <v>2840</v>
      </c>
      <c r="AA47" s="102" t="s">
        <v>2933</v>
      </c>
      <c r="AB47" s="103" t="s">
        <v>1177</v>
      </c>
      <c r="AC47" s="103" t="s">
        <v>2682</v>
      </c>
      <c r="AD47" s="102" t="s">
        <v>399</v>
      </c>
      <c r="AE47" s="103" t="s">
        <v>642</v>
      </c>
      <c r="AF47" s="103" t="s">
        <v>1708</v>
      </c>
      <c r="AG47" s="103" t="s">
        <v>3490</v>
      </c>
      <c r="AH47" s="103" t="s">
        <v>3112</v>
      </c>
      <c r="AI47" s="103" t="s">
        <v>1267</v>
      </c>
      <c r="AJ47" s="103" t="s">
        <v>2484</v>
      </c>
      <c r="AK47" s="103" t="s">
        <v>745</v>
      </c>
      <c r="AL47" s="103" t="s">
        <v>803</v>
      </c>
      <c r="AM47" s="102" t="s">
        <v>2934</v>
      </c>
      <c r="AN47" s="103" t="s">
        <v>3223</v>
      </c>
      <c r="AO47" s="102" t="s">
        <v>4285</v>
      </c>
      <c r="AP47" s="106" t="s">
        <v>2974</v>
      </c>
      <c r="AQ47" s="102" t="s">
        <v>2974</v>
      </c>
      <c r="AR47" s="103" t="s">
        <v>1708</v>
      </c>
      <c r="AS47" s="103" t="s">
        <v>3570</v>
      </c>
      <c r="AT47" s="103" t="s">
        <v>2480</v>
      </c>
      <c r="AU47" s="103" t="s">
        <v>888</v>
      </c>
      <c r="AV47" s="103" t="s">
        <v>960</v>
      </c>
    </row>
    <row r="48" spans="1:59">
      <c r="A48" s="102">
        <v>47</v>
      </c>
      <c r="B48" s="102" t="s">
        <v>400</v>
      </c>
      <c r="C48" s="102" t="s">
        <v>444</v>
      </c>
      <c r="D48" s="102" t="s">
        <v>2593</v>
      </c>
      <c r="E48" s="103" t="s">
        <v>2415</v>
      </c>
      <c r="F48" s="102" t="s">
        <v>512</v>
      </c>
      <c r="G48" s="102" t="s">
        <v>544</v>
      </c>
      <c r="H48" s="105" t="s">
        <v>1336</v>
      </c>
      <c r="I48" s="103" t="s">
        <v>1732</v>
      </c>
      <c r="J48" s="102" t="s">
        <v>595</v>
      </c>
      <c r="K48" s="103" t="s">
        <v>138</v>
      </c>
      <c r="L48" s="102" t="s">
        <v>1225</v>
      </c>
      <c r="M48" s="102" t="s">
        <v>400</v>
      </c>
      <c r="N48" s="103" t="s">
        <v>3636</v>
      </c>
      <c r="O48" s="103" t="s">
        <v>2758</v>
      </c>
      <c r="P48" s="103" t="s">
        <v>3761</v>
      </c>
      <c r="Q48" s="103" t="s">
        <v>3160</v>
      </c>
      <c r="R48" s="103" t="s">
        <v>3826</v>
      </c>
      <c r="S48" s="103" t="s">
        <v>1396</v>
      </c>
      <c r="T48" s="103" t="s">
        <v>3425</v>
      </c>
      <c r="U48" s="102" t="s">
        <v>3268</v>
      </c>
      <c r="V48" s="103" t="s">
        <v>3390</v>
      </c>
      <c r="W48" s="103" t="s">
        <v>1819</v>
      </c>
      <c r="X48" s="102" t="s">
        <v>1110</v>
      </c>
      <c r="Y48" s="102" t="s">
        <v>1155</v>
      </c>
      <c r="Z48" s="102" t="s">
        <v>2841</v>
      </c>
      <c r="AA48" s="102" t="s">
        <v>2524</v>
      </c>
      <c r="AB48" s="103" t="s">
        <v>1178</v>
      </c>
      <c r="AC48" s="103" t="s">
        <v>2683</v>
      </c>
      <c r="AD48" s="102" t="s">
        <v>2870</v>
      </c>
      <c r="AE48" s="103" t="s">
        <v>643</v>
      </c>
      <c r="AF48" s="103" t="s">
        <v>3277</v>
      </c>
      <c r="AG48" s="103" t="s">
        <v>3491</v>
      </c>
      <c r="AH48" s="103" t="s">
        <v>3113</v>
      </c>
      <c r="AI48" s="103" t="s">
        <v>1268</v>
      </c>
      <c r="AJ48" s="103" t="s">
        <v>2485</v>
      </c>
      <c r="AK48" s="103" t="s">
        <v>746</v>
      </c>
      <c r="AL48" s="103" t="s">
        <v>804</v>
      </c>
      <c r="AM48" s="102" t="s">
        <v>2935</v>
      </c>
      <c r="AN48" s="103" t="s">
        <v>3224</v>
      </c>
      <c r="AO48" s="102" t="s">
        <v>2947</v>
      </c>
      <c r="AP48" s="106" t="s">
        <v>1065</v>
      </c>
      <c r="AQ48" s="102" t="s">
        <v>829</v>
      </c>
      <c r="AR48" s="103" t="s">
        <v>1910</v>
      </c>
      <c r="AS48" s="103" t="s">
        <v>3571</v>
      </c>
      <c r="AT48" s="103" t="s">
        <v>2481</v>
      </c>
      <c r="AU48" s="103" t="s">
        <v>889</v>
      </c>
      <c r="AV48" s="103" t="s">
        <v>961</v>
      </c>
    </row>
    <row r="49" spans="1:48">
      <c r="A49" s="102">
        <v>48</v>
      </c>
      <c r="B49" s="102" t="s">
        <v>401</v>
      </c>
      <c r="C49" s="102" t="s">
        <v>445</v>
      </c>
      <c r="D49" s="102" t="s">
        <v>2594</v>
      </c>
      <c r="E49" s="103" t="s">
        <v>473</v>
      </c>
      <c r="F49" s="102" t="s">
        <v>513</v>
      </c>
      <c r="G49" s="102" t="s">
        <v>401</v>
      </c>
      <c r="H49" s="105" t="s">
        <v>1337</v>
      </c>
      <c r="I49" s="102" t="s">
        <v>562</v>
      </c>
      <c r="J49" s="102" t="s">
        <v>401</v>
      </c>
      <c r="K49" s="103" t="s">
        <v>445</v>
      </c>
      <c r="L49" s="102" t="s">
        <v>445</v>
      </c>
      <c r="M49" s="102" t="s">
        <v>401</v>
      </c>
      <c r="N49" s="103" t="s">
        <v>3637</v>
      </c>
      <c r="O49" s="103" t="s">
        <v>445</v>
      </c>
      <c r="P49" s="103" t="s">
        <v>3762</v>
      </c>
      <c r="Q49" s="103" t="s">
        <v>445</v>
      </c>
      <c r="R49" s="103" t="s">
        <v>3062</v>
      </c>
      <c r="S49" s="103" t="s">
        <v>1397</v>
      </c>
      <c r="T49" s="103" t="s">
        <v>3394</v>
      </c>
      <c r="U49" s="102" t="s">
        <v>401</v>
      </c>
      <c r="V49" s="103" t="s">
        <v>3603</v>
      </c>
      <c r="W49" s="103" t="s">
        <v>445</v>
      </c>
      <c r="X49" s="102" t="s">
        <v>1111</v>
      </c>
      <c r="Y49" s="102" t="s">
        <v>1156</v>
      </c>
      <c r="Z49" s="102" t="s">
        <v>2842</v>
      </c>
      <c r="AA49" s="102" t="s">
        <v>2525</v>
      </c>
      <c r="AB49" s="103" t="s">
        <v>1179</v>
      </c>
      <c r="AC49" s="103" t="s">
        <v>2684</v>
      </c>
      <c r="AD49" s="102" t="s">
        <v>2871</v>
      </c>
      <c r="AE49" s="103" t="s">
        <v>644</v>
      </c>
      <c r="AF49" s="103" t="s">
        <v>445</v>
      </c>
      <c r="AG49" s="103" t="s">
        <v>3492</v>
      </c>
      <c r="AH49" s="103" t="s">
        <v>401</v>
      </c>
      <c r="AI49" s="103" t="s">
        <v>401</v>
      </c>
      <c r="AJ49" s="103" t="s">
        <v>401</v>
      </c>
      <c r="AK49" s="103" t="s">
        <v>747</v>
      </c>
      <c r="AL49" s="103" t="s">
        <v>805</v>
      </c>
      <c r="AM49" s="102" t="s">
        <v>2936</v>
      </c>
      <c r="AN49" s="103" t="s">
        <v>3225</v>
      </c>
      <c r="AO49" s="102" t="s">
        <v>4286</v>
      </c>
      <c r="AP49" s="106" t="s">
        <v>401</v>
      </c>
      <c r="AQ49" s="102" t="s">
        <v>401</v>
      </c>
      <c r="AR49" s="103" t="s">
        <v>401</v>
      </c>
      <c r="AS49" s="103" t="s">
        <v>3572</v>
      </c>
      <c r="AT49" s="103" t="s">
        <v>401</v>
      </c>
      <c r="AU49" s="103" t="s">
        <v>890</v>
      </c>
      <c r="AV49" s="103" t="s">
        <v>962</v>
      </c>
    </row>
    <row r="50" spans="1:48">
      <c r="A50" s="102">
        <v>49</v>
      </c>
      <c r="B50" s="102" t="s">
        <v>402</v>
      </c>
      <c r="C50" s="102" t="s">
        <v>446</v>
      </c>
      <c r="D50" s="102" t="s">
        <v>2595</v>
      </c>
      <c r="E50" s="103" t="s">
        <v>2416</v>
      </c>
      <c r="F50" s="102" t="s">
        <v>514</v>
      </c>
      <c r="G50" s="102" t="s">
        <v>545</v>
      </c>
      <c r="H50" s="105" t="s">
        <v>1338</v>
      </c>
      <c r="I50" s="102" t="s">
        <v>563</v>
      </c>
      <c r="J50" s="102" t="s">
        <v>402</v>
      </c>
      <c r="K50" s="103" t="s">
        <v>624</v>
      </c>
      <c r="L50" s="102" t="s">
        <v>629</v>
      </c>
      <c r="M50" s="102" t="s">
        <v>402</v>
      </c>
      <c r="N50" s="103" t="s">
        <v>3638</v>
      </c>
      <c r="O50" s="103" t="s">
        <v>2759</v>
      </c>
      <c r="P50" s="103" t="s">
        <v>3763</v>
      </c>
      <c r="Q50" s="103" t="s">
        <v>3161</v>
      </c>
      <c r="R50" s="103" t="s">
        <v>2792</v>
      </c>
      <c r="S50" s="103" t="s">
        <v>1398</v>
      </c>
      <c r="T50" s="103" t="s">
        <v>3426</v>
      </c>
      <c r="U50" s="102" t="s">
        <v>413</v>
      </c>
      <c r="V50" s="103" t="s">
        <v>3604</v>
      </c>
      <c r="W50" s="103" t="s">
        <v>2818</v>
      </c>
      <c r="X50" s="102" t="s">
        <v>1112</v>
      </c>
      <c r="Y50" s="102" t="s">
        <v>1157</v>
      </c>
      <c r="Z50" s="102" t="s">
        <v>2843</v>
      </c>
      <c r="AA50" s="102" t="s">
        <v>2937</v>
      </c>
      <c r="AB50" s="103" t="s">
        <v>1180</v>
      </c>
      <c r="AC50" s="103" t="s">
        <v>2685</v>
      </c>
      <c r="AD50" s="102" t="s">
        <v>402</v>
      </c>
      <c r="AE50" s="103" t="s">
        <v>645</v>
      </c>
      <c r="AF50" s="103" t="s">
        <v>3278</v>
      </c>
      <c r="AG50" s="103" t="s">
        <v>3493</v>
      </c>
      <c r="AH50" s="103" t="s">
        <v>3114</v>
      </c>
      <c r="AI50" s="103" t="s">
        <v>1269</v>
      </c>
      <c r="AJ50" s="103" t="s">
        <v>1269</v>
      </c>
      <c r="AK50" s="103" t="s">
        <v>748</v>
      </c>
      <c r="AL50" s="103" t="s">
        <v>2909</v>
      </c>
      <c r="AM50" s="102" t="s">
        <v>2937</v>
      </c>
      <c r="AN50" s="103" t="s">
        <v>3226</v>
      </c>
      <c r="AO50" s="102" t="s">
        <v>2948</v>
      </c>
      <c r="AP50" s="106" t="s">
        <v>2975</v>
      </c>
      <c r="AQ50" s="102" t="s">
        <v>2975</v>
      </c>
      <c r="AR50" s="103" t="s">
        <v>1709</v>
      </c>
      <c r="AS50" s="103" t="s">
        <v>3573</v>
      </c>
      <c r="AT50" s="103" t="s">
        <v>2482</v>
      </c>
      <c r="AU50" s="103" t="s">
        <v>891</v>
      </c>
      <c r="AV50" s="103" t="s">
        <v>963</v>
      </c>
    </row>
    <row r="51" spans="1:48">
      <c r="A51" s="102">
        <v>50</v>
      </c>
      <c r="B51" s="102" t="s">
        <v>403</v>
      </c>
      <c r="C51" s="102" t="s">
        <v>403</v>
      </c>
      <c r="D51" s="102" t="s">
        <v>2223</v>
      </c>
      <c r="E51" s="103" t="s">
        <v>2417</v>
      </c>
      <c r="F51" s="102" t="s">
        <v>515</v>
      </c>
      <c r="G51" s="102" t="s">
        <v>546</v>
      </c>
      <c r="H51" s="105" t="s">
        <v>1339</v>
      </c>
      <c r="I51" s="102" t="s">
        <v>564</v>
      </c>
      <c r="J51" s="102" t="s">
        <v>403</v>
      </c>
      <c r="K51" s="103" t="s">
        <v>139</v>
      </c>
      <c r="L51" s="102" t="s">
        <v>1226</v>
      </c>
      <c r="M51" s="102" t="s">
        <v>403</v>
      </c>
      <c r="N51" s="103" t="s">
        <v>3639</v>
      </c>
      <c r="O51" s="103" t="s">
        <v>3679</v>
      </c>
      <c r="P51" s="103" t="s">
        <v>3764</v>
      </c>
      <c r="Q51" s="103" t="s">
        <v>3162</v>
      </c>
      <c r="R51" s="103" t="s">
        <v>3063</v>
      </c>
      <c r="S51" s="103" t="s">
        <v>1399</v>
      </c>
      <c r="T51" s="103" t="s">
        <v>3427</v>
      </c>
      <c r="U51" s="102" t="s">
        <v>403</v>
      </c>
      <c r="V51" s="114" t="s">
        <v>3605</v>
      </c>
      <c r="W51" s="103" t="s">
        <v>1820</v>
      </c>
      <c r="X51" s="102" t="s">
        <v>1113</v>
      </c>
      <c r="Y51" s="102" t="s">
        <v>1158</v>
      </c>
      <c r="Z51" s="102" t="s">
        <v>2844</v>
      </c>
      <c r="AA51" s="102" t="s">
        <v>2526</v>
      </c>
      <c r="AB51" s="103" t="s">
        <v>1181</v>
      </c>
      <c r="AC51" s="103" t="s">
        <v>2686</v>
      </c>
      <c r="AD51" s="102" t="s">
        <v>403</v>
      </c>
      <c r="AE51" s="103" t="s">
        <v>646</v>
      </c>
      <c r="AF51" s="103" t="s">
        <v>3279</v>
      </c>
      <c r="AG51" s="103" t="s">
        <v>3494</v>
      </c>
      <c r="AH51" s="103" t="s">
        <v>3115</v>
      </c>
      <c r="AI51" s="103" t="s">
        <v>1270</v>
      </c>
      <c r="AJ51" s="103" t="s">
        <v>3326</v>
      </c>
      <c r="AK51" s="103" t="s">
        <v>749</v>
      </c>
      <c r="AL51" s="103" t="s">
        <v>2037</v>
      </c>
      <c r="AM51" s="102" t="s">
        <v>2938</v>
      </c>
      <c r="AN51" s="103" t="s">
        <v>3227</v>
      </c>
      <c r="AO51" s="102" t="s">
        <v>4287</v>
      </c>
      <c r="AP51" s="106" t="s">
        <v>2976</v>
      </c>
      <c r="AQ51" s="102" t="s">
        <v>2976</v>
      </c>
      <c r="AR51" s="103" t="s">
        <v>1710</v>
      </c>
      <c r="AS51" s="103" t="s">
        <v>3574</v>
      </c>
      <c r="AT51" s="103" t="s">
        <v>1431</v>
      </c>
      <c r="AU51" s="103" t="s">
        <v>892</v>
      </c>
      <c r="AV51" s="103" t="s">
        <v>964</v>
      </c>
    </row>
    <row r="52" spans="1:48">
      <c r="A52" s="102">
        <v>51</v>
      </c>
      <c r="B52" s="102" t="s">
        <v>212</v>
      </c>
      <c r="C52" s="102" t="s">
        <v>447</v>
      </c>
      <c r="D52" s="102" t="s">
        <v>2596</v>
      </c>
      <c r="E52" s="103" t="s">
        <v>2418</v>
      </c>
      <c r="F52" s="102" t="s">
        <v>516</v>
      </c>
      <c r="G52" s="102" t="s">
        <v>212</v>
      </c>
      <c r="H52" s="103" t="s">
        <v>4188</v>
      </c>
      <c r="I52" s="103" t="s">
        <v>1733</v>
      </c>
      <c r="J52" s="102" t="s">
        <v>596</v>
      </c>
      <c r="K52" s="103" t="s">
        <v>140</v>
      </c>
      <c r="L52" s="102" t="s">
        <v>1227</v>
      </c>
      <c r="M52" s="102" t="s">
        <v>212</v>
      </c>
      <c r="N52" s="103" t="s">
        <v>3640</v>
      </c>
      <c r="O52" s="103" t="s">
        <v>3680</v>
      </c>
      <c r="P52" s="103" t="s">
        <v>3765</v>
      </c>
      <c r="Q52" s="103" t="s">
        <v>3163</v>
      </c>
      <c r="R52" s="103" t="s">
        <v>3064</v>
      </c>
      <c r="S52" s="103" t="s">
        <v>1400</v>
      </c>
      <c r="T52" s="103" t="s">
        <v>3395</v>
      </c>
      <c r="U52" s="102" t="s">
        <v>414</v>
      </c>
      <c r="V52" s="103" t="s">
        <v>3606</v>
      </c>
      <c r="W52" s="103" t="s">
        <v>1821</v>
      </c>
      <c r="X52" s="102" t="s">
        <v>1114</v>
      </c>
      <c r="Y52" s="102" t="s">
        <v>1159</v>
      </c>
      <c r="Z52" s="102" t="s">
        <v>2845</v>
      </c>
      <c r="AA52" s="102" t="s">
        <v>2527</v>
      </c>
      <c r="AB52" s="103" t="s">
        <v>1174</v>
      </c>
      <c r="AC52" s="103" t="s">
        <v>2687</v>
      </c>
      <c r="AD52" s="102" t="s">
        <v>2872</v>
      </c>
      <c r="AE52" s="103" t="s">
        <v>647</v>
      </c>
      <c r="AF52" s="103" t="s">
        <v>3280</v>
      </c>
      <c r="AG52" s="103" t="s">
        <v>3495</v>
      </c>
      <c r="AH52" s="103" t="s">
        <v>2881</v>
      </c>
      <c r="AI52" s="103" t="s">
        <v>1271</v>
      </c>
      <c r="AJ52" s="103" t="s">
        <v>3327</v>
      </c>
      <c r="AK52" s="103" t="s">
        <v>750</v>
      </c>
      <c r="AL52" s="103" t="s">
        <v>806</v>
      </c>
      <c r="AM52" s="102" t="s">
        <v>2939</v>
      </c>
      <c r="AN52" s="103" t="s">
        <v>3228</v>
      </c>
      <c r="AO52" s="102" t="s">
        <v>4288</v>
      </c>
      <c r="AP52" s="106" t="s">
        <v>1868</v>
      </c>
      <c r="AQ52" s="102" t="s">
        <v>830</v>
      </c>
      <c r="AR52" s="103" t="s">
        <v>1911</v>
      </c>
      <c r="AS52" s="103" t="s">
        <v>3575</v>
      </c>
      <c r="AT52" s="103" t="s">
        <v>1432</v>
      </c>
      <c r="AU52" s="103" t="s">
        <v>893</v>
      </c>
      <c r="AV52" s="103" t="s">
        <v>965</v>
      </c>
    </row>
    <row r="53" spans="1:48">
      <c r="A53" s="102">
        <v>52</v>
      </c>
      <c r="B53" s="102" t="s">
        <v>213</v>
      </c>
      <c r="C53" s="102" t="s">
        <v>213</v>
      </c>
      <c r="D53" s="102" t="s">
        <v>2597</v>
      </c>
      <c r="E53" s="103" t="s">
        <v>2419</v>
      </c>
      <c r="F53" s="102" t="s">
        <v>517</v>
      </c>
      <c r="G53" s="102" t="s">
        <v>576</v>
      </c>
      <c r="H53" s="105" t="s">
        <v>1340</v>
      </c>
      <c r="I53" s="103" t="s">
        <v>1734</v>
      </c>
      <c r="J53" s="102" t="s">
        <v>213</v>
      </c>
      <c r="K53" s="103" t="s">
        <v>141</v>
      </c>
      <c r="L53" s="102" t="s">
        <v>1228</v>
      </c>
      <c r="M53" s="102" t="s">
        <v>213</v>
      </c>
      <c r="N53" s="103" t="s">
        <v>3641</v>
      </c>
      <c r="O53" s="103" t="s">
        <v>3681</v>
      </c>
      <c r="P53" s="103" t="s">
        <v>3766</v>
      </c>
      <c r="Q53" s="103" t="s">
        <v>3164</v>
      </c>
      <c r="R53" s="103" t="s">
        <v>2793</v>
      </c>
      <c r="S53" s="103" t="s">
        <v>1401</v>
      </c>
      <c r="T53" s="103" t="s">
        <v>3396</v>
      </c>
      <c r="U53" s="102" t="s">
        <v>415</v>
      </c>
      <c r="V53" s="103" t="s">
        <v>3607</v>
      </c>
      <c r="W53" s="103" t="s">
        <v>1822</v>
      </c>
      <c r="X53" s="102" t="s">
        <v>1115</v>
      </c>
      <c r="Y53" s="102" t="s">
        <v>1160</v>
      </c>
      <c r="Z53" s="102" t="s">
        <v>213</v>
      </c>
      <c r="AA53" s="102" t="s">
        <v>2528</v>
      </c>
      <c r="AB53" s="103" t="s">
        <v>1182</v>
      </c>
      <c r="AC53" s="103" t="s">
        <v>2688</v>
      </c>
      <c r="AD53" s="102" t="s">
        <v>213</v>
      </c>
      <c r="AE53" s="103" t="s">
        <v>648</v>
      </c>
      <c r="AF53" s="103" t="s">
        <v>3281</v>
      </c>
      <c r="AG53" s="103" t="s">
        <v>3496</v>
      </c>
      <c r="AH53" s="103" t="s">
        <v>3116</v>
      </c>
      <c r="AI53" s="103" t="s">
        <v>1272</v>
      </c>
      <c r="AJ53" s="103" t="s">
        <v>3328</v>
      </c>
      <c r="AK53" s="103" t="s">
        <v>751</v>
      </c>
      <c r="AL53" s="103" t="s">
        <v>2910</v>
      </c>
      <c r="AM53" s="102" t="s">
        <v>2940</v>
      </c>
      <c r="AN53" s="103" t="s">
        <v>3229</v>
      </c>
      <c r="AO53" s="102" t="s">
        <v>4289</v>
      </c>
      <c r="AP53" s="106" t="s">
        <v>1869</v>
      </c>
      <c r="AQ53" s="102" t="s">
        <v>831</v>
      </c>
      <c r="AR53" s="103" t="s">
        <v>1711</v>
      </c>
      <c r="AS53" s="103" t="s">
        <v>3576</v>
      </c>
      <c r="AT53" s="103" t="s">
        <v>1433</v>
      </c>
      <c r="AU53" s="103" t="s">
        <v>894</v>
      </c>
      <c r="AV53" s="103" t="s">
        <v>966</v>
      </c>
    </row>
    <row r="54" spans="1:48">
      <c r="A54" s="102">
        <v>53</v>
      </c>
      <c r="B54" s="102" t="s">
        <v>214</v>
      </c>
      <c r="C54" s="102" t="s">
        <v>448</v>
      </c>
      <c r="D54" s="102" t="s">
        <v>2598</v>
      </c>
      <c r="E54" s="103" t="s">
        <v>474</v>
      </c>
      <c r="F54" s="102" t="s">
        <v>518</v>
      </c>
      <c r="G54" s="102" t="s">
        <v>214</v>
      </c>
      <c r="H54" s="105" t="s">
        <v>1341</v>
      </c>
      <c r="I54" s="103" t="s">
        <v>1735</v>
      </c>
      <c r="J54" s="102" t="s">
        <v>214</v>
      </c>
      <c r="K54" s="103" t="s">
        <v>142</v>
      </c>
      <c r="L54" s="102" t="s">
        <v>1229</v>
      </c>
      <c r="M54" s="102" t="s">
        <v>214</v>
      </c>
      <c r="N54" s="103" t="s">
        <v>3642</v>
      </c>
      <c r="O54" s="103" t="s">
        <v>3682</v>
      </c>
      <c r="P54" s="103" t="s">
        <v>3767</v>
      </c>
      <c r="Q54" s="103" t="s">
        <v>3165</v>
      </c>
      <c r="R54" s="103" t="s">
        <v>3827</v>
      </c>
      <c r="S54" s="103" t="s">
        <v>1402</v>
      </c>
      <c r="T54" s="103" t="s">
        <v>3428</v>
      </c>
      <c r="U54" s="102" t="s">
        <v>416</v>
      </c>
      <c r="V54" s="103" t="s">
        <v>3608</v>
      </c>
      <c r="W54" s="103" t="s">
        <v>1823</v>
      </c>
      <c r="X54" s="102" t="s">
        <v>1116</v>
      </c>
      <c r="Y54" s="102" t="s">
        <v>1161</v>
      </c>
      <c r="Z54" s="102" t="s">
        <v>2846</v>
      </c>
      <c r="AA54" s="102" t="s">
        <v>2529</v>
      </c>
      <c r="AB54" s="103" t="s">
        <v>1183</v>
      </c>
      <c r="AC54" s="103" t="s">
        <v>2689</v>
      </c>
      <c r="AD54" s="102" t="s">
        <v>2873</v>
      </c>
      <c r="AE54" s="103" t="s">
        <v>649</v>
      </c>
      <c r="AF54" s="103" t="s">
        <v>3282</v>
      </c>
      <c r="AG54" s="103" t="s">
        <v>3497</v>
      </c>
      <c r="AH54" s="103" t="s">
        <v>3117</v>
      </c>
      <c r="AI54" s="103" t="s">
        <v>1273</v>
      </c>
      <c r="AJ54" s="103" t="s">
        <v>2486</v>
      </c>
      <c r="AK54" s="103" t="s">
        <v>752</v>
      </c>
      <c r="AL54" s="102" t="s">
        <v>2911</v>
      </c>
      <c r="AM54" s="102" t="s">
        <v>2941</v>
      </c>
      <c r="AN54" s="103" t="s">
        <v>3230</v>
      </c>
      <c r="AO54" s="102" t="s">
        <v>4290</v>
      </c>
      <c r="AP54" s="106" t="s">
        <v>1870</v>
      </c>
      <c r="AQ54" s="102" t="s">
        <v>832</v>
      </c>
      <c r="AR54" s="103" t="s">
        <v>1912</v>
      </c>
      <c r="AS54" s="103" t="s">
        <v>3577</v>
      </c>
      <c r="AT54" s="103" t="s">
        <v>1434</v>
      </c>
      <c r="AU54" s="103" t="s">
        <v>895</v>
      </c>
      <c r="AV54" s="103" t="s">
        <v>967</v>
      </c>
    </row>
    <row r="55" spans="1:48">
      <c r="A55" s="102">
        <v>54</v>
      </c>
      <c r="B55" s="102" t="s">
        <v>404</v>
      </c>
      <c r="C55" s="102" t="s">
        <v>449</v>
      </c>
      <c r="D55" s="102" t="s">
        <v>459</v>
      </c>
      <c r="E55" s="103" t="s">
        <v>2420</v>
      </c>
      <c r="F55" s="102" t="s">
        <v>519</v>
      </c>
      <c r="G55" s="102" t="s">
        <v>577</v>
      </c>
      <c r="H55" s="105" t="s">
        <v>1342</v>
      </c>
      <c r="I55" s="102" t="s">
        <v>565</v>
      </c>
      <c r="J55" s="102" t="s">
        <v>404</v>
      </c>
      <c r="K55" s="103" t="s">
        <v>624</v>
      </c>
      <c r="L55" s="102" t="s">
        <v>449</v>
      </c>
      <c r="M55" s="102" t="s">
        <v>404</v>
      </c>
      <c r="N55" s="103" t="s">
        <v>3643</v>
      </c>
      <c r="O55" s="103" t="s">
        <v>404</v>
      </c>
      <c r="P55" s="103" t="s">
        <v>3768</v>
      </c>
      <c r="Q55" s="103" t="s">
        <v>3166</v>
      </c>
      <c r="R55" s="103" t="s">
        <v>2794</v>
      </c>
      <c r="S55" s="103" t="s">
        <v>1403</v>
      </c>
      <c r="T55" s="103" t="s">
        <v>3429</v>
      </c>
      <c r="U55" s="102" t="s">
        <v>417</v>
      </c>
      <c r="V55" s="103" t="s">
        <v>3609</v>
      </c>
      <c r="W55" s="103" t="s">
        <v>1824</v>
      </c>
      <c r="X55" s="102" t="s">
        <v>1117</v>
      </c>
      <c r="Y55" s="102" t="s">
        <v>1162</v>
      </c>
      <c r="Z55" s="102" t="s">
        <v>404</v>
      </c>
      <c r="AA55" s="102" t="s">
        <v>519</v>
      </c>
      <c r="AB55" s="103" t="s">
        <v>1180</v>
      </c>
      <c r="AC55" s="103" t="s">
        <v>2690</v>
      </c>
      <c r="AD55" s="102" t="s">
        <v>404</v>
      </c>
      <c r="AE55" s="103" t="s">
        <v>650</v>
      </c>
      <c r="AF55" s="103" t="s">
        <v>3278</v>
      </c>
      <c r="AG55" s="103" t="s">
        <v>3498</v>
      </c>
      <c r="AH55" s="103" t="s">
        <v>3118</v>
      </c>
      <c r="AI55" s="103" t="s">
        <v>2892</v>
      </c>
      <c r="AJ55" s="103" t="s">
        <v>2892</v>
      </c>
      <c r="AK55" s="103" t="s">
        <v>2897</v>
      </c>
      <c r="AL55" s="103" t="s">
        <v>807</v>
      </c>
      <c r="AM55" s="102" t="s">
        <v>519</v>
      </c>
      <c r="AN55" s="103" t="s">
        <v>3226</v>
      </c>
      <c r="AO55" s="102" t="s">
        <v>4291</v>
      </c>
      <c r="AP55" s="106" t="s">
        <v>2977</v>
      </c>
      <c r="AQ55" s="102" t="s">
        <v>2977</v>
      </c>
      <c r="AR55" s="103" t="s">
        <v>1913</v>
      </c>
      <c r="AS55" s="103" t="s">
        <v>2961</v>
      </c>
      <c r="AT55" s="103" t="s">
        <v>2993</v>
      </c>
      <c r="AU55" s="103" t="s">
        <v>896</v>
      </c>
      <c r="AV55" s="103" t="s">
        <v>968</v>
      </c>
    </row>
    <row r="56" spans="1:48">
      <c r="A56" s="102">
        <v>55</v>
      </c>
      <c r="B56" s="102" t="s">
        <v>1165</v>
      </c>
      <c r="C56" s="102" t="s">
        <v>1072</v>
      </c>
      <c r="D56" s="102" t="s">
        <v>2599</v>
      </c>
      <c r="E56" s="103" t="s">
        <v>2421</v>
      </c>
      <c r="F56" s="102" t="s">
        <v>2241</v>
      </c>
      <c r="G56" s="102" t="s">
        <v>1165</v>
      </c>
      <c r="H56" s="105" t="s">
        <v>1343</v>
      </c>
      <c r="I56" s="103" t="s">
        <v>1736</v>
      </c>
      <c r="J56" s="102" t="s">
        <v>2330</v>
      </c>
      <c r="K56" s="103" t="s">
        <v>3283</v>
      </c>
      <c r="L56" s="102" t="s">
        <v>1230</v>
      </c>
      <c r="M56" s="102" t="s">
        <v>1165</v>
      </c>
      <c r="N56" s="103" t="s">
        <v>3644</v>
      </c>
      <c r="O56" s="103" t="s">
        <v>1165</v>
      </c>
      <c r="P56" s="103" t="s">
        <v>3769</v>
      </c>
      <c r="Q56" s="103" t="s">
        <v>1055</v>
      </c>
      <c r="R56" s="103" t="s">
        <v>3065</v>
      </c>
      <c r="S56" s="103" t="s">
        <v>1404</v>
      </c>
      <c r="T56" s="103" t="s">
        <v>3430</v>
      </c>
      <c r="U56" s="102" t="s">
        <v>2133</v>
      </c>
      <c r="V56" s="103" t="s">
        <v>3610</v>
      </c>
      <c r="W56" s="103" t="s">
        <v>1825</v>
      </c>
      <c r="X56" s="102" t="s">
        <v>1516</v>
      </c>
      <c r="Y56" s="102" t="s">
        <v>1560</v>
      </c>
      <c r="Z56" s="102" t="s">
        <v>1615</v>
      </c>
      <c r="AA56" s="102" t="s">
        <v>2530</v>
      </c>
      <c r="AB56" s="103" t="s">
        <v>1184</v>
      </c>
      <c r="AC56" s="103" t="s">
        <v>2691</v>
      </c>
      <c r="AD56" s="102" t="s">
        <v>1165</v>
      </c>
      <c r="AE56" s="103" t="s">
        <v>651</v>
      </c>
      <c r="AF56" s="103" t="s">
        <v>3283</v>
      </c>
      <c r="AG56" s="103" t="s">
        <v>3499</v>
      </c>
      <c r="AH56" s="103" t="s">
        <v>3119</v>
      </c>
      <c r="AI56" s="103" t="s">
        <v>1274</v>
      </c>
      <c r="AJ56" s="103" t="s">
        <v>1274</v>
      </c>
      <c r="AK56" s="103" t="s">
        <v>753</v>
      </c>
      <c r="AL56" s="102" t="s">
        <v>2017</v>
      </c>
      <c r="AM56" s="102" t="s">
        <v>2046</v>
      </c>
      <c r="AN56" s="103" t="s">
        <v>3231</v>
      </c>
      <c r="AO56" s="102" t="s">
        <v>1165</v>
      </c>
      <c r="AP56" s="106" t="s">
        <v>1062</v>
      </c>
      <c r="AQ56" s="102" t="s">
        <v>1062</v>
      </c>
      <c r="AR56" s="103" t="s">
        <v>1914</v>
      </c>
      <c r="AS56" s="103" t="s">
        <v>3578</v>
      </c>
      <c r="AT56" s="103" t="s">
        <v>1435</v>
      </c>
      <c r="AU56" s="103" t="s">
        <v>897</v>
      </c>
      <c r="AV56" s="103" t="s">
        <v>969</v>
      </c>
    </row>
    <row r="57" spans="1:48">
      <c r="A57" s="102">
        <v>56</v>
      </c>
      <c r="B57" s="102" t="s">
        <v>3004</v>
      </c>
      <c r="C57" s="102" t="s">
        <v>1073</v>
      </c>
      <c r="D57" s="102" t="s">
        <v>2600</v>
      </c>
      <c r="E57" s="103" t="s">
        <v>2422</v>
      </c>
      <c r="F57" s="102" t="s">
        <v>2242</v>
      </c>
      <c r="G57" s="102" t="s">
        <v>2285</v>
      </c>
      <c r="H57" s="103" t="s">
        <v>4189</v>
      </c>
      <c r="I57" s="103" t="s">
        <v>1737</v>
      </c>
      <c r="J57" s="102" t="s">
        <v>2331</v>
      </c>
      <c r="K57" s="102" t="s">
        <v>143</v>
      </c>
      <c r="L57" s="102" t="s">
        <v>1231</v>
      </c>
      <c r="M57" s="102" t="s">
        <v>3004</v>
      </c>
      <c r="N57" s="103" t="s">
        <v>3645</v>
      </c>
      <c r="O57" s="103" t="s">
        <v>3683</v>
      </c>
      <c r="P57" s="103" t="s">
        <v>3770</v>
      </c>
      <c r="Q57" s="103" t="s">
        <v>3167</v>
      </c>
      <c r="R57" s="103" t="s">
        <v>3066</v>
      </c>
      <c r="S57" s="103" t="s">
        <v>1405</v>
      </c>
      <c r="T57" s="103" t="s">
        <v>3397</v>
      </c>
      <c r="U57" s="102" t="s">
        <v>2134</v>
      </c>
      <c r="V57" s="103" t="s">
        <v>3611</v>
      </c>
      <c r="W57" s="103" t="s">
        <v>1826</v>
      </c>
      <c r="X57" s="102" t="s">
        <v>1517</v>
      </c>
      <c r="Y57" s="102" t="s">
        <v>1561</v>
      </c>
      <c r="Z57" s="102" t="s">
        <v>1616</v>
      </c>
      <c r="AA57" s="102" t="s">
        <v>2531</v>
      </c>
      <c r="AB57" s="103" t="s">
        <v>1185</v>
      </c>
      <c r="AC57" s="103" t="s">
        <v>2692</v>
      </c>
      <c r="AD57" s="102" t="s">
        <v>1657</v>
      </c>
      <c r="AE57" s="103" t="s">
        <v>652</v>
      </c>
      <c r="AF57" s="103" t="s">
        <v>3284</v>
      </c>
      <c r="AG57" s="103" t="s">
        <v>3500</v>
      </c>
      <c r="AH57" s="103" t="s">
        <v>3120</v>
      </c>
      <c r="AI57" s="103" t="s">
        <v>1275</v>
      </c>
      <c r="AJ57" s="103" t="s">
        <v>3329</v>
      </c>
      <c r="AK57" s="103" t="s">
        <v>754</v>
      </c>
      <c r="AL57" s="102" t="s">
        <v>2642</v>
      </c>
      <c r="AM57" s="102" t="s">
        <v>2047</v>
      </c>
      <c r="AN57" s="103" t="s">
        <v>3232</v>
      </c>
      <c r="AO57" s="102" t="s">
        <v>4292</v>
      </c>
      <c r="AP57" s="106" t="s">
        <v>1902</v>
      </c>
      <c r="AQ57" s="102" t="s">
        <v>833</v>
      </c>
      <c r="AR57" s="103" t="s">
        <v>1915</v>
      </c>
      <c r="AS57" s="103" t="s">
        <v>3579</v>
      </c>
      <c r="AT57" s="103" t="s">
        <v>1436</v>
      </c>
      <c r="AU57" s="103" t="s">
        <v>898</v>
      </c>
      <c r="AV57" s="103" t="s">
        <v>970</v>
      </c>
    </row>
    <row r="58" spans="1:48">
      <c r="A58" s="102">
        <v>57</v>
      </c>
      <c r="B58" s="102" t="s">
        <v>3005</v>
      </c>
      <c r="C58" s="102" t="s">
        <v>1074</v>
      </c>
      <c r="D58" s="102" t="s">
        <v>2601</v>
      </c>
      <c r="E58" s="103" t="s">
        <v>2423</v>
      </c>
      <c r="F58" s="102" t="s">
        <v>2243</v>
      </c>
      <c r="G58" s="102" t="s">
        <v>2286</v>
      </c>
      <c r="H58" s="103" t="s">
        <v>4190</v>
      </c>
      <c r="I58" s="103" t="s">
        <v>1738</v>
      </c>
      <c r="J58" s="102" t="s">
        <v>2332</v>
      </c>
      <c r="K58" s="102" t="s">
        <v>2372</v>
      </c>
      <c r="L58" s="102" t="s">
        <v>1074</v>
      </c>
      <c r="M58" s="102" t="s">
        <v>3005</v>
      </c>
      <c r="N58" s="103" t="s">
        <v>3646</v>
      </c>
      <c r="O58" s="103" t="s">
        <v>3684</v>
      </c>
      <c r="P58" s="103" t="s">
        <v>3771</v>
      </c>
      <c r="Q58" s="103" t="s">
        <v>3168</v>
      </c>
      <c r="R58" s="103" t="s">
        <v>3067</v>
      </c>
      <c r="S58" s="103" t="s">
        <v>1406</v>
      </c>
      <c r="T58" s="103" t="s">
        <v>3398</v>
      </c>
      <c r="U58" s="102" t="s">
        <v>2135</v>
      </c>
      <c r="V58" s="103" t="s">
        <v>3612</v>
      </c>
      <c r="W58" s="103" t="s">
        <v>1827</v>
      </c>
      <c r="X58" s="102" t="s">
        <v>1518</v>
      </c>
      <c r="Y58" s="102" t="s">
        <v>1562</v>
      </c>
      <c r="Z58" s="102" t="s">
        <v>1617</v>
      </c>
      <c r="AA58" s="102" t="s">
        <v>2532</v>
      </c>
      <c r="AB58" s="103" t="s">
        <v>1186</v>
      </c>
      <c r="AC58" s="103" t="s">
        <v>2693</v>
      </c>
      <c r="AD58" s="102" t="s">
        <v>1658</v>
      </c>
      <c r="AE58" s="103" t="s">
        <v>653</v>
      </c>
      <c r="AF58" s="103" t="s">
        <v>3285</v>
      </c>
      <c r="AG58" s="103" t="s">
        <v>3501</v>
      </c>
      <c r="AH58" s="103" t="s">
        <v>3121</v>
      </c>
      <c r="AI58" s="103" t="s">
        <v>1715</v>
      </c>
      <c r="AJ58" s="103" t="s">
        <v>3330</v>
      </c>
      <c r="AK58" s="103" t="s">
        <v>755</v>
      </c>
      <c r="AL58" s="102" t="s">
        <v>2018</v>
      </c>
      <c r="AM58" s="102" t="s">
        <v>2048</v>
      </c>
      <c r="AN58" s="103" t="s">
        <v>3232</v>
      </c>
      <c r="AO58" s="102" t="s">
        <v>4293</v>
      </c>
      <c r="AP58" s="106" t="s">
        <v>1903</v>
      </c>
      <c r="AQ58" s="102" t="s">
        <v>834</v>
      </c>
      <c r="AR58" s="103" t="s">
        <v>1916</v>
      </c>
      <c r="AS58" s="103" t="s">
        <v>3580</v>
      </c>
      <c r="AT58" s="103" t="s">
        <v>1437</v>
      </c>
      <c r="AU58" s="103" t="s">
        <v>899</v>
      </c>
      <c r="AV58" s="103" t="s">
        <v>971</v>
      </c>
    </row>
    <row r="59" spans="1:48">
      <c r="A59" s="102">
        <v>58</v>
      </c>
      <c r="B59" s="102" t="s">
        <v>3006</v>
      </c>
      <c r="C59" s="102" t="s">
        <v>1075</v>
      </c>
      <c r="D59" s="102" t="s">
        <v>2602</v>
      </c>
      <c r="E59" s="103" t="s">
        <v>2424</v>
      </c>
      <c r="F59" s="102" t="s">
        <v>2244</v>
      </c>
      <c r="G59" s="102" t="s">
        <v>2287</v>
      </c>
      <c r="H59" s="103" t="s">
        <v>4191</v>
      </c>
      <c r="I59" s="103" t="s">
        <v>1739</v>
      </c>
      <c r="J59" s="102" t="s">
        <v>2333</v>
      </c>
      <c r="K59" s="102" t="s">
        <v>2373</v>
      </c>
      <c r="L59" s="102" t="s">
        <v>1075</v>
      </c>
      <c r="M59" s="102" t="s">
        <v>3006</v>
      </c>
      <c r="N59" s="103" t="s">
        <v>3647</v>
      </c>
      <c r="O59" s="103" t="s">
        <v>3685</v>
      </c>
      <c r="P59" s="103" t="s">
        <v>3772</v>
      </c>
      <c r="Q59" s="103" t="s">
        <v>1479</v>
      </c>
      <c r="R59" s="103" t="s">
        <v>3068</v>
      </c>
      <c r="S59" s="103" t="s">
        <v>1407</v>
      </c>
      <c r="T59" s="103" t="s">
        <v>3399</v>
      </c>
      <c r="U59" s="102" t="s">
        <v>2136</v>
      </c>
      <c r="V59" s="103" t="s">
        <v>3613</v>
      </c>
      <c r="W59" s="103" t="s">
        <v>1828</v>
      </c>
      <c r="X59" s="102" t="s">
        <v>1519</v>
      </c>
      <c r="Y59" s="102" t="s">
        <v>1563</v>
      </c>
      <c r="Z59" s="102" t="s">
        <v>1618</v>
      </c>
      <c r="AA59" s="102" t="s">
        <v>2533</v>
      </c>
      <c r="AB59" s="103" t="s">
        <v>1187</v>
      </c>
      <c r="AC59" s="103" t="s">
        <v>2694</v>
      </c>
      <c r="AD59" s="102" t="s">
        <v>1659</v>
      </c>
      <c r="AE59" s="103" t="s">
        <v>654</v>
      </c>
      <c r="AF59" s="103" t="s">
        <v>3286</v>
      </c>
      <c r="AG59" s="103" t="s">
        <v>3502</v>
      </c>
      <c r="AH59" s="103" t="s">
        <v>3122</v>
      </c>
      <c r="AI59" s="103" t="s">
        <v>1276</v>
      </c>
      <c r="AJ59" s="103" t="s">
        <v>1716</v>
      </c>
      <c r="AK59" s="103" t="s">
        <v>756</v>
      </c>
      <c r="AL59" s="102" t="s">
        <v>2019</v>
      </c>
      <c r="AM59" s="102" t="s">
        <v>2049</v>
      </c>
      <c r="AN59" s="103" t="s">
        <v>3232</v>
      </c>
      <c r="AO59" s="102" t="s">
        <v>4294</v>
      </c>
      <c r="AP59" s="106" t="s">
        <v>1904</v>
      </c>
      <c r="AQ59" s="102" t="s">
        <v>835</v>
      </c>
      <c r="AR59" s="103" t="s">
        <v>1917</v>
      </c>
      <c r="AS59" s="103" t="s">
        <v>3581</v>
      </c>
      <c r="AT59" s="103" t="s">
        <v>1438</v>
      </c>
      <c r="AU59" s="103" t="s">
        <v>900</v>
      </c>
      <c r="AV59" s="103" t="s">
        <v>972</v>
      </c>
    </row>
    <row r="60" spans="1:48">
      <c r="A60" s="102">
        <v>59</v>
      </c>
      <c r="B60" s="102" t="s">
        <v>3007</v>
      </c>
      <c r="C60" s="102" t="s">
        <v>1076</v>
      </c>
      <c r="D60" s="102" t="s">
        <v>2603</v>
      </c>
      <c r="E60" s="103" t="s">
        <v>2425</v>
      </c>
      <c r="F60" s="102" t="s">
        <v>2245</v>
      </c>
      <c r="G60" s="102" t="s">
        <v>2288</v>
      </c>
      <c r="H60" s="103" t="s">
        <v>4192</v>
      </c>
      <c r="I60" s="103" t="s">
        <v>1740</v>
      </c>
      <c r="J60" s="102" t="s">
        <v>2334</v>
      </c>
      <c r="K60" s="102" t="s">
        <v>2374</v>
      </c>
      <c r="L60" s="102" t="s">
        <v>1076</v>
      </c>
      <c r="M60" s="102" t="s">
        <v>3007</v>
      </c>
      <c r="N60" s="103" t="s">
        <v>3648</v>
      </c>
      <c r="O60" s="103" t="s">
        <v>3686</v>
      </c>
      <c r="P60" s="103" t="s">
        <v>3773</v>
      </c>
      <c r="Q60" s="103" t="s">
        <v>3169</v>
      </c>
      <c r="R60" s="103" t="s">
        <v>3069</v>
      </c>
      <c r="S60" s="103" t="s">
        <v>1408</v>
      </c>
      <c r="T60" s="103" t="s">
        <v>1494</v>
      </c>
      <c r="U60" s="102" t="s">
        <v>2137</v>
      </c>
      <c r="V60" s="103" t="s">
        <v>3614</v>
      </c>
      <c r="W60" s="103" t="s">
        <v>1829</v>
      </c>
      <c r="X60" s="102" t="s">
        <v>1520</v>
      </c>
      <c r="Y60" s="102" t="s">
        <v>1564</v>
      </c>
      <c r="Z60" s="102" t="s">
        <v>1619</v>
      </c>
      <c r="AA60" s="102" t="s">
        <v>2534</v>
      </c>
      <c r="AB60" s="103" t="s">
        <v>1188</v>
      </c>
      <c r="AC60" s="103" t="s">
        <v>2695</v>
      </c>
      <c r="AD60" s="102" t="s">
        <v>1660</v>
      </c>
      <c r="AE60" s="103" t="s">
        <v>655</v>
      </c>
      <c r="AF60" s="103" t="s">
        <v>3287</v>
      </c>
      <c r="AG60" s="103" t="s">
        <v>3503</v>
      </c>
      <c r="AH60" s="103" t="s">
        <v>3123</v>
      </c>
      <c r="AI60" s="103" t="s">
        <v>1717</v>
      </c>
      <c r="AJ60" s="103" t="s">
        <v>3331</v>
      </c>
      <c r="AK60" s="103" t="s">
        <v>757</v>
      </c>
      <c r="AL60" s="102" t="s">
        <v>2020</v>
      </c>
      <c r="AM60" s="102" t="s">
        <v>2050</v>
      </c>
      <c r="AN60" s="103" t="s">
        <v>3232</v>
      </c>
      <c r="AO60" s="102" t="s">
        <v>2090</v>
      </c>
      <c r="AP60" s="106" t="s">
        <v>1871</v>
      </c>
      <c r="AQ60" s="102" t="s">
        <v>836</v>
      </c>
      <c r="AR60" s="103" t="s">
        <v>1918</v>
      </c>
      <c r="AS60" s="103" t="s">
        <v>3582</v>
      </c>
      <c r="AT60" s="103" t="s">
        <v>1439</v>
      </c>
      <c r="AU60" s="103" t="s">
        <v>901</v>
      </c>
      <c r="AV60" s="103" t="s">
        <v>973</v>
      </c>
    </row>
    <row r="61" spans="1:48">
      <c r="A61" s="102">
        <v>60</v>
      </c>
      <c r="B61" s="102" t="s">
        <v>3008</v>
      </c>
      <c r="C61" s="102" t="s">
        <v>1077</v>
      </c>
      <c r="D61" s="102" t="s">
        <v>2604</v>
      </c>
      <c r="E61" s="103" t="s">
        <v>2426</v>
      </c>
      <c r="F61" s="102" t="s">
        <v>2246</v>
      </c>
      <c r="G61" s="102" t="s">
        <v>2289</v>
      </c>
      <c r="H61" s="103" t="s">
        <v>4193</v>
      </c>
      <c r="I61" s="103" t="s">
        <v>1741</v>
      </c>
      <c r="J61" s="102" t="s">
        <v>2335</v>
      </c>
      <c r="K61" s="102" t="s">
        <v>2375</v>
      </c>
      <c r="L61" s="102" t="s">
        <v>1077</v>
      </c>
      <c r="M61" s="102" t="s">
        <v>3008</v>
      </c>
      <c r="N61" s="103" t="s">
        <v>3649</v>
      </c>
      <c r="O61" s="103" t="s">
        <v>3687</v>
      </c>
      <c r="P61" s="103" t="s">
        <v>3774</v>
      </c>
      <c r="Q61" s="103" t="s">
        <v>3170</v>
      </c>
      <c r="R61" s="103" t="s">
        <v>3070</v>
      </c>
      <c r="S61" s="103" t="s">
        <v>1409</v>
      </c>
      <c r="T61" s="103" t="s">
        <v>1495</v>
      </c>
      <c r="U61" s="102" t="s">
        <v>2141</v>
      </c>
      <c r="V61" s="103" t="s">
        <v>3615</v>
      </c>
      <c r="W61" s="103" t="s">
        <v>1830</v>
      </c>
      <c r="X61" s="102" t="s">
        <v>1521</v>
      </c>
      <c r="Y61" s="102" t="s">
        <v>1565</v>
      </c>
      <c r="Z61" s="102" t="s">
        <v>1620</v>
      </c>
      <c r="AA61" s="102" t="s">
        <v>2535</v>
      </c>
      <c r="AB61" s="103" t="s">
        <v>1189</v>
      </c>
      <c r="AC61" s="103" t="s">
        <v>2696</v>
      </c>
      <c r="AD61" s="102" t="s">
        <v>1661</v>
      </c>
      <c r="AE61" s="103" t="s">
        <v>656</v>
      </c>
      <c r="AF61" s="103" t="s">
        <v>3288</v>
      </c>
      <c r="AG61" s="103" t="s">
        <v>3504</v>
      </c>
      <c r="AH61" s="103" t="s">
        <v>3124</v>
      </c>
      <c r="AI61" s="103" t="s">
        <v>1277</v>
      </c>
      <c r="AJ61" s="103" t="s">
        <v>1718</v>
      </c>
      <c r="AK61" s="103" t="s">
        <v>758</v>
      </c>
      <c r="AL61" s="102" t="s">
        <v>2021</v>
      </c>
      <c r="AM61" s="102" t="s">
        <v>2051</v>
      </c>
      <c r="AN61" s="103" t="s">
        <v>3232</v>
      </c>
      <c r="AO61" s="102" t="s">
        <v>4295</v>
      </c>
      <c r="AP61" s="106" t="s">
        <v>1872</v>
      </c>
      <c r="AQ61" s="102" t="s">
        <v>837</v>
      </c>
      <c r="AR61" s="103" t="s">
        <v>1919</v>
      </c>
      <c r="AS61" s="103" t="s">
        <v>3583</v>
      </c>
      <c r="AT61" s="103" t="s">
        <v>1440</v>
      </c>
      <c r="AU61" s="103" t="s">
        <v>902</v>
      </c>
      <c r="AV61" s="103" t="s">
        <v>974</v>
      </c>
    </row>
    <row r="62" spans="1:48">
      <c r="A62" s="102">
        <v>61</v>
      </c>
      <c r="B62" s="102" t="s">
        <v>3009</v>
      </c>
      <c r="C62" s="102" t="s">
        <v>1078</v>
      </c>
      <c r="D62" s="102" t="s">
        <v>2605</v>
      </c>
      <c r="E62" s="103" t="s">
        <v>2427</v>
      </c>
      <c r="F62" s="102" t="s">
        <v>2247</v>
      </c>
      <c r="G62" s="102" t="s">
        <v>2290</v>
      </c>
      <c r="H62" s="103" t="s">
        <v>4194</v>
      </c>
      <c r="I62" s="103" t="s">
        <v>1742</v>
      </c>
      <c r="J62" s="102" t="s">
        <v>2336</v>
      </c>
      <c r="K62" s="102" t="s">
        <v>2376</v>
      </c>
      <c r="L62" s="102" t="s">
        <v>1078</v>
      </c>
      <c r="M62" s="102" t="s">
        <v>3009</v>
      </c>
      <c r="N62" s="103" t="s">
        <v>3650</v>
      </c>
      <c r="O62" s="103" t="s">
        <v>3688</v>
      </c>
      <c r="P62" s="103" t="s">
        <v>3775</v>
      </c>
      <c r="Q62" s="103" t="s">
        <v>3171</v>
      </c>
      <c r="R62" s="103" t="s">
        <v>3071</v>
      </c>
      <c r="S62" s="103" t="s">
        <v>1410</v>
      </c>
      <c r="T62" s="103" t="s">
        <v>1496</v>
      </c>
      <c r="U62" s="102" t="s">
        <v>2138</v>
      </c>
      <c r="V62" s="103" t="s">
        <v>3616</v>
      </c>
      <c r="W62" s="103" t="s">
        <v>1831</v>
      </c>
      <c r="X62" s="102" t="s">
        <v>1522</v>
      </c>
      <c r="Y62" s="102" t="s">
        <v>1566</v>
      </c>
      <c r="Z62" s="102" t="s">
        <v>1621</v>
      </c>
      <c r="AA62" s="102" t="s">
        <v>2536</v>
      </c>
      <c r="AB62" s="103" t="s">
        <v>1190</v>
      </c>
      <c r="AC62" s="103" t="s">
        <v>2697</v>
      </c>
      <c r="AD62" s="102" t="s">
        <v>1662</v>
      </c>
      <c r="AE62" s="103" t="s">
        <v>657</v>
      </c>
      <c r="AF62" s="103" t="s">
        <v>3289</v>
      </c>
      <c r="AG62" s="103" t="s">
        <v>3505</v>
      </c>
      <c r="AH62" s="103" t="s">
        <v>3125</v>
      </c>
      <c r="AI62" s="103" t="s">
        <v>1998</v>
      </c>
      <c r="AJ62" s="103" t="s">
        <v>3332</v>
      </c>
      <c r="AK62" s="103" t="s">
        <v>759</v>
      </c>
      <c r="AL62" s="102" t="s">
        <v>2022</v>
      </c>
      <c r="AM62" s="102" t="s">
        <v>2052</v>
      </c>
      <c r="AN62" s="103" t="s">
        <v>3232</v>
      </c>
      <c r="AO62" s="102" t="s">
        <v>4296</v>
      </c>
      <c r="AP62" s="106" t="s">
        <v>1873</v>
      </c>
      <c r="AQ62" s="102" t="s">
        <v>838</v>
      </c>
      <c r="AR62" s="103" t="s">
        <v>1920</v>
      </c>
      <c r="AS62" s="103" t="s">
        <v>3584</v>
      </c>
      <c r="AT62" s="103" t="s">
        <v>1441</v>
      </c>
      <c r="AU62" s="103" t="s">
        <v>903</v>
      </c>
      <c r="AV62" s="103" t="s">
        <v>975</v>
      </c>
    </row>
    <row r="63" spans="1:48">
      <c r="A63" s="102">
        <v>62</v>
      </c>
      <c r="B63" s="102" t="s">
        <v>3010</v>
      </c>
      <c r="C63" s="102" t="s">
        <v>1079</v>
      </c>
      <c r="D63" s="102" t="s">
        <v>2606</v>
      </c>
      <c r="E63" s="103" t="s">
        <v>2428</v>
      </c>
      <c r="F63" s="102" t="s">
        <v>2248</v>
      </c>
      <c r="G63" s="102" t="s">
        <v>2291</v>
      </c>
      <c r="H63" s="103" t="s">
        <v>4195</v>
      </c>
      <c r="I63" s="103" t="s">
        <v>1743</v>
      </c>
      <c r="J63" s="102" t="s">
        <v>2337</v>
      </c>
      <c r="K63" s="102" t="s">
        <v>2377</v>
      </c>
      <c r="L63" s="102" t="s">
        <v>1079</v>
      </c>
      <c r="M63" s="102" t="s">
        <v>3010</v>
      </c>
      <c r="N63" s="103" t="s">
        <v>3651</v>
      </c>
      <c r="O63" s="103" t="s">
        <v>3689</v>
      </c>
      <c r="P63" s="103" t="s">
        <v>3776</v>
      </c>
      <c r="Q63" s="103" t="s">
        <v>3172</v>
      </c>
      <c r="R63" s="103" t="s">
        <v>3072</v>
      </c>
      <c r="S63" s="103" t="s">
        <v>1411</v>
      </c>
      <c r="T63" s="103" t="s">
        <v>1497</v>
      </c>
      <c r="U63" s="102" t="s">
        <v>2139</v>
      </c>
      <c r="V63" s="103" t="s">
        <v>3617</v>
      </c>
      <c r="W63" s="103" t="s">
        <v>1832</v>
      </c>
      <c r="X63" s="102" t="s">
        <v>1523</v>
      </c>
      <c r="Y63" s="102" t="s">
        <v>1567</v>
      </c>
      <c r="Z63" s="102" t="s">
        <v>1622</v>
      </c>
      <c r="AA63" s="102" t="s">
        <v>2537</v>
      </c>
      <c r="AB63" s="103" t="s">
        <v>1191</v>
      </c>
      <c r="AC63" s="103" t="s">
        <v>2698</v>
      </c>
      <c r="AD63" s="102" t="s">
        <v>1663</v>
      </c>
      <c r="AE63" s="103" t="s">
        <v>658</v>
      </c>
      <c r="AF63" s="103" t="s">
        <v>3290</v>
      </c>
      <c r="AG63" s="103" t="s">
        <v>3506</v>
      </c>
      <c r="AH63" s="103" t="s">
        <v>3126</v>
      </c>
      <c r="AI63" s="103" t="s">
        <v>1999</v>
      </c>
      <c r="AJ63" s="103" t="s">
        <v>3333</v>
      </c>
      <c r="AK63" s="103" t="s">
        <v>760</v>
      </c>
      <c r="AL63" s="102" t="s">
        <v>2643</v>
      </c>
      <c r="AM63" s="102" t="s">
        <v>2053</v>
      </c>
      <c r="AN63" s="103" t="s">
        <v>3232</v>
      </c>
      <c r="AO63" s="102" t="s">
        <v>4297</v>
      </c>
      <c r="AP63" s="106" t="s">
        <v>1874</v>
      </c>
      <c r="AQ63" s="102" t="s">
        <v>839</v>
      </c>
      <c r="AR63" s="103" t="s">
        <v>1921</v>
      </c>
      <c r="AS63" s="103" t="s">
        <v>3585</v>
      </c>
      <c r="AT63" s="103" t="s">
        <v>1442</v>
      </c>
      <c r="AU63" s="103" t="s">
        <v>904</v>
      </c>
      <c r="AV63" s="103" t="s">
        <v>976</v>
      </c>
    </row>
    <row r="64" spans="1:48">
      <c r="A64" s="102">
        <v>63</v>
      </c>
      <c r="B64" s="102" t="s">
        <v>3011</v>
      </c>
      <c r="C64" s="102" t="s">
        <v>1080</v>
      </c>
      <c r="D64" s="102" t="s">
        <v>2607</v>
      </c>
      <c r="E64" s="103" t="s">
        <v>2429</v>
      </c>
      <c r="F64" s="102" t="s">
        <v>2249</v>
      </c>
      <c r="G64" s="102" t="s">
        <v>2292</v>
      </c>
      <c r="H64" s="103" t="s">
        <v>4196</v>
      </c>
      <c r="I64" s="103" t="s">
        <v>1744</v>
      </c>
      <c r="J64" s="102" t="s">
        <v>2338</v>
      </c>
      <c r="K64" s="102" t="s">
        <v>144</v>
      </c>
      <c r="L64" s="102" t="s">
        <v>1080</v>
      </c>
      <c r="M64" s="102" t="s">
        <v>3011</v>
      </c>
      <c r="N64" s="103" t="s">
        <v>3652</v>
      </c>
      <c r="O64" s="103" t="s">
        <v>3690</v>
      </c>
      <c r="P64" s="103" t="s">
        <v>3777</v>
      </c>
      <c r="Q64" s="103" t="s">
        <v>3173</v>
      </c>
      <c r="R64" s="103" t="s">
        <v>3073</v>
      </c>
      <c r="S64" s="103" t="s">
        <v>1412</v>
      </c>
      <c r="T64" s="103" t="s">
        <v>1498</v>
      </c>
      <c r="U64" s="102" t="s">
        <v>2140</v>
      </c>
      <c r="V64" s="103" t="s">
        <v>3618</v>
      </c>
      <c r="W64" s="103" t="s">
        <v>1833</v>
      </c>
      <c r="X64" s="102" t="s">
        <v>1524</v>
      </c>
      <c r="Y64" s="102" t="s">
        <v>1568</v>
      </c>
      <c r="Z64" s="102" t="s">
        <v>1623</v>
      </c>
      <c r="AA64" s="102" t="s">
        <v>2538</v>
      </c>
      <c r="AB64" s="103" t="s">
        <v>1192</v>
      </c>
      <c r="AC64" s="103" t="s">
        <v>2699</v>
      </c>
      <c r="AD64" s="102" t="s">
        <v>1664</v>
      </c>
      <c r="AE64" s="103" t="s">
        <v>659</v>
      </c>
      <c r="AF64" s="103" t="s">
        <v>3291</v>
      </c>
      <c r="AG64" s="103" t="s">
        <v>3507</v>
      </c>
      <c r="AH64" s="103" t="s">
        <v>3127</v>
      </c>
      <c r="AI64" s="103" t="s">
        <v>2000</v>
      </c>
      <c r="AJ64" s="103" t="s">
        <v>3334</v>
      </c>
      <c r="AK64" s="103" t="s">
        <v>761</v>
      </c>
      <c r="AL64" s="102" t="s">
        <v>2644</v>
      </c>
      <c r="AM64" s="102" t="s">
        <v>2054</v>
      </c>
      <c r="AN64" s="103" t="s">
        <v>3232</v>
      </c>
      <c r="AO64" s="102" t="s">
        <v>4298</v>
      </c>
      <c r="AP64" s="106" t="s">
        <v>1875</v>
      </c>
      <c r="AQ64" s="102" t="s">
        <v>840</v>
      </c>
      <c r="AR64" s="103" t="s">
        <v>1922</v>
      </c>
      <c r="AS64" s="103" t="s">
        <v>3586</v>
      </c>
      <c r="AT64" s="103" t="s">
        <v>1443</v>
      </c>
      <c r="AU64" s="103" t="s">
        <v>905</v>
      </c>
      <c r="AV64" s="103" t="s">
        <v>977</v>
      </c>
    </row>
    <row r="65" spans="1:48">
      <c r="A65" s="102">
        <v>64</v>
      </c>
      <c r="B65" s="102" t="s">
        <v>3012</v>
      </c>
      <c r="C65" s="102" t="s">
        <v>1081</v>
      </c>
      <c r="D65" s="102" t="s">
        <v>2608</v>
      </c>
      <c r="E65" s="103" t="s">
        <v>2430</v>
      </c>
      <c r="F65" s="102" t="s">
        <v>2250</v>
      </c>
      <c r="G65" s="102" t="s">
        <v>2293</v>
      </c>
      <c r="H65" s="103" t="s">
        <v>1344</v>
      </c>
      <c r="I65" s="103" t="s">
        <v>1745</v>
      </c>
      <c r="J65" s="102" t="s">
        <v>2339</v>
      </c>
      <c r="K65" s="103" t="s">
        <v>145</v>
      </c>
      <c r="L65" s="102" t="s">
        <v>1232</v>
      </c>
      <c r="M65" s="102" t="s">
        <v>3012</v>
      </c>
      <c r="N65" s="103" t="s">
        <v>3653</v>
      </c>
      <c r="O65" s="103" t="s">
        <v>3691</v>
      </c>
      <c r="P65" s="103" t="s">
        <v>3778</v>
      </c>
      <c r="Q65" s="103" t="s">
        <v>3174</v>
      </c>
      <c r="R65" s="103" t="s">
        <v>3074</v>
      </c>
      <c r="S65" s="103" t="s">
        <v>1413</v>
      </c>
      <c r="T65" s="103" t="s">
        <v>3431</v>
      </c>
      <c r="U65" s="102" t="s">
        <v>2142</v>
      </c>
      <c r="V65" s="103" t="s">
        <v>3619</v>
      </c>
      <c r="W65" s="103" t="s">
        <v>1834</v>
      </c>
      <c r="X65" s="102" t="s">
        <v>1525</v>
      </c>
      <c r="Y65" s="102" t="s">
        <v>1569</v>
      </c>
      <c r="Z65" s="102" t="s">
        <v>1624</v>
      </c>
      <c r="AA65" s="102" t="s">
        <v>2539</v>
      </c>
      <c r="AB65" s="103" t="s">
        <v>1193</v>
      </c>
      <c r="AC65" s="103" t="s">
        <v>2700</v>
      </c>
      <c r="AD65" s="102" t="s">
        <v>1665</v>
      </c>
      <c r="AE65" s="103" t="s">
        <v>660</v>
      </c>
      <c r="AF65" s="103" t="s">
        <v>3292</v>
      </c>
      <c r="AG65" s="103" t="s">
        <v>3508</v>
      </c>
      <c r="AH65" s="103" t="s">
        <v>3128</v>
      </c>
      <c r="AI65" s="103" t="s">
        <v>1278</v>
      </c>
      <c r="AJ65" s="103" t="s">
        <v>3335</v>
      </c>
      <c r="AK65" s="103" t="s">
        <v>762</v>
      </c>
      <c r="AL65" s="103" t="s">
        <v>808</v>
      </c>
      <c r="AM65" s="102" t="s">
        <v>2055</v>
      </c>
      <c r="AN65" s="103" t="s">
        <v>3233</v>
      </c>
      <c r="AO65" s="102" t="s">
        <v>4299</v>
      </c>
      <c r="AP65" s="106" t="s">
        <v>1905</v>
      </c>
      <c r="AQ65" s="102" t="s">
        <v>841</v>
      </c>
      <c r="AR65" s="103" t="s">
        <v>1923</v>
      </c>
      <c r="AS65" s="103" t="s">
        <v>3587</v>
      </c>
      <c r="AT65" s="103" t="s">
        <v>1444</v>
      </c>
      <c r="AU65" s="103" t="s">
        <v>906</v>
      </c>
      <c r="AV65" s="103" t="s">
        <v>978</v>
      </c>
    </row>
    <row r="66" spans="1:48">
      <c r="A66" s="102">
        <v>65</v>
      </c>
      <c r="B66" s="102" t="s">
        <v>3013</v>
      </c>
      <c r="C66" s="102" t="s">
        <v>1082</v>
      </c>
      <c r="D66" s="102" t="s">
        <v>2609</v>
      </c>
      <c r="E66" s="103" t="s">
        <v>2431</v>
      </c>
      <c r="F66" s="102" t="s">
        <v>2251</v>
      </c>
      <c r="G66" s="102" t="s">
        <v>2294</v>
      </c>
      <c r="H66" s="103" t="s">
        <v>1345</v>
      </c>
      <c r="I66" s="103" t="s">
        <v>1746</v>
      </c>
      <c r="J66" s="102" t="s">
        <v>2340</v>
      </c>
      <c r="K66" s="103" t="s">
        <v>146</v>
      </c>
      <c r="L66" s="102" t="s">
        <v>1233</v>
      </c>
      <c r="M66" s="102" t="s">
        <v>3013</v>
      </c>
      <c r="N66" s="103" t="s">
        <v>3654</v>
      </c>
      <c r="O66" s="103" t="s">
        <v>3692</v>
      </c>
      <c r="P66" s="103" t="s">
        <v>3779</v>
      </c>
      <c r="Q66" s="103" t="s">
        <v>3175</v>
      </c>
      <c r="R66" s="103" t="s">
        <v>3075</v>
      </c>
      <c r="S66" s="103" t="s">
        <v>1414</v>
      </c>
      <c r="T66" s="103" t="s">
        <v>3432</v>
      </c>
      <c r="U66" s="102" t="s">
        <v>2143</v>
      </c>
      <c r="V66" s="103" t="s">
        <v>3620</v>
      </c>
      <c r="W66" s="103" t="s">
        <v>1835</v>
      </c>
      <c r="X66" s="102" t="s">
        <v>1526</v>
      </c>
      <c r="Y66" s="102" t="s">
        <v>1570</v>
      </c>
      <c r="Z66" s="102" t="s">
        <v>1625</v>
      </c>
      <c r="AA66" s="102" t="s">
        <v>2540</v>
      </c>
      <c r="AB66" s="103" t="s">
        <v>1194</v>
      </c>
      <c r="AC66" s="103" t="s">
        <v>2701</v>
      </c>
      <c r="AD66" s="102" t="s">
        <v>1666</v>
      </c>
      <c r="AE66" s="103" t="s">
        <v>661</v>
      </c>
      <c r="AF66" s="103" t="s">
        <v>3293</v>
      </c>
      <c r="AG66" s="103" t="s">
        <v>3509</v>
      </c>
      <c r="AH66" s="103" t="s">
        <v>3129</v>
      </c>
      <c r="AI66" s="103" t="s">
        <v>1279</v>
      </c>
      <c r="AJ66" s="103" t="s">
        <v>3336</v>
      </c>
      <c r="AK66" s="103" t="s">
        <v>763</v>
      </c>
      <c r="AL66" s="103" t="s">
        <v>809</v>
      </c>
      <c r="AM66" s="102" t="s">
        <v>2056</v>
      </c>
      <c r="AN66" s="103" t="s">
        <v>3234</v>
      </c>
      <c r="AO66" s="102" t="s">
        <v>2091</v>
      </c>
      <c r="AP66" s="106" t="s">
        <v>1876</v>
      </c>
      <c r="AQ66" s="102" t="s">
        <v>842</v>
      </c>
      <c r="AR66" s="103" t="s">
        <v>1924</v>
      </c>
      <c r="AS66" s="103" t="s">
        <v>3588</v>
      </c>
      <c r="AT66" s="103" t="s">
        <v>1445</v>
      </c>
      <c r="AU66" s="103" t="s">
        <v>907</v>
      </c>
      <c r="AV66" s="103" t="s">
        <v>979</v>
      </c>
    </row>
    <row r="67" spans="1:48">
      <c r="A67" s="102">
        <v>66</v>
      </c>
      <c r="B67" s="102" t="s">
        <v>3014</v>
      </c>
      <c r="C67" s="102" t="s">
        <v>1083</v>
      </c>
      <c r="D67" s="102" t="s">
        <v>2610</v>
      </c>
      <c r="E67" s="103" t="s">
        <v>2432</v>
      </c>
      <c r="F67" s="102" t="s">
        <v>2252</v>
      </c>
      <c r="G67" s="102" t="s">
        <v>2295</v>
      </c>
      <c r="H67" s="103" t="s">
        <v>1346</v>
      </c>
      <c r="I67" s="103" t="s">
        <v>1747</v>
      </c>
      <c r="J67" s="102" t="s">
        <v>2341</v>
      </c>
      <c r="K67" s="103" t="s">
        <v>147</v>
      </c>
      <c r="L67" s="102" t="s">
        <v>1234</v>
      </c>
      <c r="M67" s="102" t="s">
        <v>3014</v>
      </c>
      <c r="N67" s="103" t="s">
        <v>3655</v>
      </c>
      <c r="O67" s="103" t="s">
        <v>3693</v>
      </c>
      <c r="P67" s="103" t="s">
        <v>3780</v>
      </c>
      <c r="Q67" s="103" t="s">
        <v>3176</v>
      </c>
      <c r="R67" s="103" t="s">
        <v>3076</v>
      </c>
      <c r="S67" s="103" t="s">
        <v>1415</v>
      </c>
      <c r="T67" s="103" t="s">
        <v>3433</v>
      </c>
      <c r="U67" s="102" t="s">
        <v>2144</v>
      </c>
      <c r="V67" s="103" t="s">
        <v>3621</v>
      </c>
      <c r="W67" s="103" t="s">
        <v>1836</v>
      </c>
      <c r="X67" s="102" t="s">
        <v>1527</v>
      </c>
      <c r="Y67" s="102" t="s">
        <v>1571</v>
      </c>
      <c r="Z67" s="102" t="s">
        <v>1626</v>
      </c>
      <c r="AA67" s="102" t="s">
        <v>2541</v>
      </c>
      <c r="AB67" s="103" t="s">
        <v>1195</v>
      </c>
      <c r="AC67" s="103" t="s">
        <v>2702</v>
      </c>
      <c r="AD67" s="102" t="s">
        <v>1667</v>
      </c>
      <c r="AE67" s="103" t="s">
        <v>662</v>
      </c>
      <c r="AF67" s="103" t="s">
        <v>3294</v>
      </c>
      <c r="AG67" s="103" t="s">
        <v>3510</v>
      </c>
      <c r="AH67" s="103" t="s">
        <v>3130</v>
      </c>
      <c r="AI67" s="103" t="s">
        <v>1280</v>
      </c>
      <c r="AJ67" s="103" t="s">
        <v>1984</v>
      </c>
      <c r="AK67" s="103" t="s">
        <v>764</v>
      </c>
      <c r="AL67" s="103" t="s">
        <v>810</v>
      </c>
      <c r="AM67" s="102" t="s">
        <v>2057</v>
      </c>
      <c r="AN67" s="103" t="s">
        <v>3235</v>
      </c>
      <c r="AO67" s="102" t="s">
        <v>2092</v>
      </c>
      <c r="AP67" s="106" t="s">
        <v>1877</v>
      </c>
      <c r="AQ67" s="102" t="s">
        <v>841</v>
      </c>
      <c r="AR67" s="103" t="s">
        <v>1925</v>
      </c>
      <c r="AS67" s="103" t="s">
        <v>3589</v>
      </c>
      <c r="AT67" s="103" t="s">
        <v>1446</v>
      </c>
      <c r="AU67" s="103" t="s">
        <v>908</v>
      </c>
      <c r="AV67" s="103" t="s">
        <v>980</v>
      </c>
    </row>
    <row r="68" spans="1:48">
      <c r="A68" s="102">
        <v>67</v>
      </c>
      <c r="B68" s="102" t="s">
        <v>3015</v>
      </c>
      <c r="C68" s="102" t="s">
        <v>1084</v>
      </c>
      <c r="D68" s="102" t="s">
        <v>2611</v>
      </c>
      <c r="E68" s="103" t="s">
        <v>2433</v>
      </c>
      <c r="F68" s="102" t="s">
        <v>2253</v>
      </c>
      <c r="G68" s="102" t="s">
        <v>2296</v>
      </c>
      <c r="H68" s="103" t="s">
        <v>1347</v>
      </c>
      <c r="I68" s="103" t="s">
        <v>1748</v>
      </c>
      <c r="J68" s="102" t="s">
        <v>2342</v>
      </c>
      <c r="K68" s="103" t="s">
        <v>148</v>
      </c>
      <c r="L68" s="102" t="s">
        <v>1235</v>
      </c>
      <c r="M68" s="102" t="s">
        <v>3015</v>
      </c>
      <c r="N68" s="103" t="s">
        <v>3656</v>
      </c>
      <c r="O68" s="103" t="s">
        <v>3694</v>
      </c>
      <c r="P68" s="103" t="s">
        <v>3781</v>
      </c>
      <c r="Q68" s="103" t="s">
        <v>3177</v>
      </c>
      <c r="R68" s="103" t="s">
        <v>3077</v>
      </c>
      <c r="S68" s="103" t="s">
        <v>1416</v>
      </c>
      <c r="T68" s="103" t="s">
        <v>3434</v>
      </c>
      <c r="U68" s="102" t="s">
        <v>2145</v>
      </c>
      <c r="V68" s="103" t="s">
        <v>3622</v>
      </c>
      <c r="W68" s="103" t="s">
        <v>1837</v>
      </c>
      <c r="X68" s="102" t="s">
        <v>1528</v>
      </c>
      <c r="Y68" s="102" t="s">
        <v>1572</v>
      </c>
      <c r="Z68" s="102" t="s">
        <v>1627</v>
      </c>
      <c r="AA68" s="102" t="s">
        <v>2542</v>
      </c>
      <c r="AB68" s="103" t="s">
        <v>1196</v>
      </c>
      <c r="AC68" s="103" t="s">
        <v>2703</v>
      </c>
      <c r="AD68" s="102" t="s">
        <v>1668</v>
      </c>
      <c r="AE68" s="103" t="s">
        <v>663</v>
      </c>
      <c r="AF68" s="103" t="s">
        <v>3295</v>
      </c>
      <c r="AG68" s="103" t="s">
        <v>3511</v>
      </c>
      <c r="AH68" s="103" t="s">
        <v>3131</v>
      </c>
      <c r="AI68" s="103" t="s">
        <v>1281</v>
      </c>
      <c r="AJ68" s="103" t="s">
        <v>1985</v>
      </c>
      <c r="AK68" s="103" t="s">
        <v>765</v>
      </c>
      <c r="AL68" s="103" t="s">
        <v>811</v>
      </c>
      <c r="AM68" s="102" t="s">
        <v>2058</v>
      </c>
      <c r="AN68" s="103" t="s">
        <v>3236</v>
      </c>
      <c r="AO68" s="102" t="s">
        <v>2093</v>
      </c>
      <c r="AP68" s="106" t="s">
        <v>1878</v>
      </c>
      <c r="AQ68" s="102" t="s">
        <v>842</v>
      </c>
      <c r="AR68" s="103" t="s">
        <v>1926</v>
      </c>
      <c r="AS68" s="103" t="s">
        <v>3590</v>
      </c>
      <c r="AT68" s="103" t="s">
        <v>1447</v>
      </c>
      <c r="AU68" s="103" t="s">
        <v>909</v>
      </c>
      <c r="AV68" s="103" t="s">
        <v>981</v>
      </c>
    </row>
    <row r="69" spans="1:48">
      <c r="A69" s="102">
        <v>68</v>
      </c>
      <c r="B69" s="102" t="s">
        <v>3016</v>
      </c>
      <c r="C69" s="102" t="s">
        <v>1085</v>
      </c>
      <c r="D69" s="102" t="s">
        <v>2612</v>
      </c>
      <c r="E69" s="103" t="s">
        <v>2434</v>
      </c>
      <c r="F69" s="102" t="s">
        <v>2254</v>
      </c>
      <c r="G69" s="102" t="s">
        <v>2297</v>
      </c>
      <c r="H69" s="103" t="s">
        <v>1348</v>
      </c>
      <c r="I69" s="103" t="s">
        <v>1749</v>
      </c>
      <c r="J69" s="102" t="s">
        <v>2343</v>
      </c>
      <c r="K69" s="103" t="s">
        <v>149</v>
      </c>
      <c r="L69" s="102" t="s">
        <v>1236</v>
      </c>
      <c r="M69" s="102" t="s">
        <v>3016</v>
      </c>
      <c r="N69" s="103" t="s">
        <v>3657</v>
      </c>
      <c r="O69" s="103" t="s">
        <v>3695</v>
      </c>
      <c r="P69" s="103" t="s">
        <v>3782</v>
      </c>
      <c r="Q69" s="103" t="s">
        <v>3178</v>
      </c>
      <c r="R69" s="103" t="s">
        <v>3078</v>
      </c>
      <c r="S69" s="103" t="s">
        <v>1417</v>
      </c>
      <c r="T69" s="103" t="s">
        <v>3435</v>
      </c>
      <c r="U69" s="102" t="s">
        <v>2146</v>
      </c>
      <c r="V69" s="103" t="s">
        <v>3623</v>
      </c>
      <c r="W69" s="103" t="s">
        <v>1838</v>
      </c>
      <c r="X69" s="102" t="s">
        <v>1529</v>
      </c>
      <c r="Y69" s="102" t="s">
        <v>1573</v>
      </c>
      <c r="Z69" s="102" t="s">
        <v>1628</v>
      </c>
      <c r="AA69" s="102" t="s">
        <v>2543</v>
      </c>
      <c r="AB69" s="103" t="s">
        <v>1197</v>
      </c>
      <c r="AC69" s="103" t="s">
        <v>2704</v>
      </c>
      <c r="AD69" s="102" t="s">
        <v>1669</v>
      </c>
      <c r="AE69" s="103" t="s">
        <v>664</v>
      </c>
      <c r="AF69" s="103" t="s">
        <v>3296</v>
      </c>
      <c r="AG69" s="103" t="s">
        <v>3512</v>
      </c>
      <c r="AH69" s="103" t="s">
        <v>3132</v>
      </c>
      <c r="AI69" s="103" t="s">
        <v>1282</v>
      </c>
      <c r="AJ69" s="103" t="s">
        <v>1986</v>
      </c>
      <c r="AK69" s="103" t="s">
        <v>766</v>
      </c>
      <c r="AL69" s="103" t="s">
        <v>812</v>
      </c>
      <c r="AM69" s="102" t="s">
        <v>2059</v>
      </c>
      <c r="AN69" s="103" t="s">
        <v>3237</v>
      </c>
      <c r="AO69" s="102" t="s">
        <v>2094</v>
      </c>
      <c r="AP69" s="106" t="s">
        <v>1879</v>
      </c>
      <c r="AQ69" s="102" t="s">
        <v>841</v>
      </c>
      <c r="AR69" s="103" t="s">
        <v>1927</v>
      </c>
      <c r="AS69" s="103" t="s">
        <v>3591</v>
      </c>
      <c r="AT69" s="103" t="s">
        <v>1448</v>
      </c>
      <c r="AU69" s="103" t="s">
        <v>910</v>
      </c>
      <c r="AV69" s="103" t="s">
        <v>982</v>
      </c>
    </row>
    <row r="70" spans="1:48">
      <c r="A70" s="102">
        <v>69</v>
      </c>
      <c r="B70" s="102" t="s">
        <v>3017</v>
      </c>
      <c r="C70" s="102" t="s">
        <v>1086</v>
      </c>
      <c r="D70" s="102" t="s">
        <v>2613</v>
      </c>
      <c r="E70" s="103" t="s">
        <v>2435</v>
      </c>
      <c r="F70" s="102" t="s">
        <v>2255</v>
      </c>
      <c r="G70" s="102" t="s">
        <v>2298</v>
      </c>
      <c r="H70" s="103" t="s">
        <v>1349</v>
      </c>
      <c r="I70" s="103" t="s">
        <v>1750</v>
      </c>
      <c r="J70" s="102" t="s">
        <v>2344</v>
      </c>
      <c r="K70" s="103" t="s">
        <v>150</v>
      </c>
      <c r="L70" s="102" t="s">
        <v>1237</v>
      </c>
      <c r="M70" s="102" t="s">
        <v>3017</v>
      </c>
      <c r="N70" s="103" t="s">
        <v>3658</v>
      </c>
      <c r="O70" s="103" t="s">
        <v>3696</v>
      </c>
      <c r="P70" s="103" t="s">
        <v>3783</v>
      </c>
      <c r="Q70" s="103" t="s">
        <v>3179</v>
      </c>
      <c r="R70" s="103" t="s">
        <v>3079</v>
      </c>
      <c r="S70" s="103" t="s">
        <v>1418</v>
      </c>
      <c r="T70" s="103" t="s">
        <v>3436</v>
      </c>
      <c r="U70" s="102" t="s">
        <v>2147</v>
      </c>
      <c r="V70" s="103" t="s">
        <v>1776</v>
      </c>
      <c r="W70" s="103" t="s">
        <v>1839</v>
      </c>
      <c r="X70" s="102" t="s">
        <v>1530</v>
      </c>
      <c r="Y70" s="102" t="s">
        <v>1574</v>
      </c>
      <c r="Z70" s="102" t="s">
        <v>1629</v>
      </c>
      <c r="AA70" s="102" t="s">
        <v>2544</v>
      </c>
      <c r="AB70" s="103" t="s">
        <v>1198</v>
      </c>
      <c r="AC70" s="103" t="s">
        <v>2705</v>
      </c>
      <c r="AD70" s="102" t="s">
        <v>1670</v>
      </c>
      <c r="AE70" s="103" t="s">
        <v>665</v>
      </c>
      <c r="AF70" s="103" t="s">
        <v>3297</v>
      </c>
      <c r="AG70" s="103" t="s">
        <v>3513</v>
      </c>
      <c r="AH70" s="103" t="s">
        <v>3133</v>
      </c>
      <c r="AI70" s="103" t="s">
        <v>1283</v>
      </c>
      <c r="AJ70" s="103" t="s">
        <v>1987</v>
      </c>
      <c r="AK70" s="103" t="s">
        <v>767</v>
      </c>
      <c r="AL70" s="103" t="s">
        <v>813</v>
      </c>
      <c r="AM70" s="102" t="s">
        <v>2060</v>
      </c>
      <c r="AN70" s="103" t="s">
        <v>3238</v>
      </c>
      <c r="AO70" s="102" t="s">
        <v>2095</v>
      </c>
      <c r="AP70" s="106" t="s">
        <v>1880</v>
      </c>
      <c r="AQ70" s="102" t="s">
        <v>842</v>
      </c>
      <c r="AR70" s="103" t="s">
        <v>1928</v>
      </c>
      <c r="AS70" s="103" t="s">
        <v>3592</v>
      </c>
      <c r="AT70" s="103" t="s">
        <v>1449</v>
      </c>
      <c r="AU70" s="103" t="s">
        <v>911</v>
      </c>
      <c r="AV70" s="103" t="s">
        <v>983</v>
      </c>
    </row>
    <row r="71" spans="1:48">
      <c r="A71" s="102">
        <v>70</v>
      </c>
      <c r="B71" s="102" t="s">
        <v>3018</v>
      </c>
      <c r="C71" s="102" t="s">
        <v>1087</v>
      </c>
      <c r="D71" s="102" t="s">
        <v>2614</v>
      </c>
      <c r="E71" s="103" t="s">
        <v>2436</v>
      </c>
      <c r="F71" s="102" t="s">
        <v>2256</v>
      </c>
      <c r="G71" s="102" t="s">
        <v>2299</v>
      </c>
      <c r="H71" s="103" t="s">
        <v>1350</v>
      </c>
      <c r="I71" s="103" t="s">
        <v>1751</v>
      </c>
      <c r="J71" s="102" t="s">
        <v>2345</v>
      </c>
      <c r="K71" s="103" t="s">
        <v>151</v>
      </c>
      <c r="L71" s="102" t="s">
        <v>1238</v>
      </c>
      <c r="M71" s="102" t="s">
        <v>3018</v>
      </c>
      <c r="N71" s="103" t="s">
        <v>3659</v>
      </c>
      <c r="O71" s="103" t="s">
        <v>3697</v>
      </c>
      <c r="P71" s="103" t="s">
        <v>3784</v>
      </c>
      <c r="Q71" s="103" t="s">
        <v>3180</v>
      </c>
      <c r="R71" s="103" t="s">
        <v>3080</v>
      </c>
      <c r="S71" s="103" t="s">
        <v>1419</v>
      </c>
      <c r="T71" s="103" t="s">
        <v>3437</v>
      </c>
      <c r="U71" s="102" t="s">
        <v>2148</v>
      </c>
      <c r="V71" s="103" t="s">
        <v>1777</v>
      </c>
      <c r="W71" s="103" t="s">
        <v>1840</v>
      </c>
      <c r="X71" s="102" t="s">
        <v>1531</v>
      </c>
      <c r="Y71" s="102" t="s">
        <v>1588</v>
      </c>
      <c r="Z71" s="102" t="s">
        <v>1630</v>
      </c>
      <c r="AA71" s="102" t="s">
        <v>2545</v>
      </c>
      <c r="AB71" s="103" t="s">
        <v>1199</v>
      </c>
      <c r="AC71" s="103" t="s">
        <v>2706</v>
      </c>
      <c r="AD71" s="102" t="s">
        <v>1671</v>
      </c>
      <c r="AE71" s="103" t="s">
        <v>666</v>
      </c>
      <c r="AF71" s="103" t="s">
        <v>3298</v>
      </c>
      <c r="AG71" s="103" t="s">
        <v>3514</v>
      </c>
      <c r="AH71" s="103" t="s">
        <v>3134</v>
      </c>
      <c r="AI71" s="103" t="s">
        <v>1284</v>
      </c>
      <c r="AJ71" s="103" t="s">
        <v>1988</v>
      </c>
      <c r="AK71" s="103" t="s">
        <v>768</v>
      </c>
      <c r="AL71" s="103" t="s">
        <v>814</v>
      </c>
      <c r="AM71" s="102" t="s">
        <v>2061</v>
      </c>
      <c r="AN71" s="103" t="s">
        <v>3239</v>
      </c>
      <c r="AO71" s="102" t="s">
        <v>2096</v>
      </c>
      <c r="AP71" s="106" t="s">
        <v>1881</v>
      </c>
      <c r="AQ71" s="102" t="s">
        <v>841</v>
      </c>
      <c r="AR71" s="103" t="s">
        <v>1929</v>
      </c>
      <c r="AS71" s="103" t="s">
        <v>3593</v>
      </c>
      <c r="AT71" s="103" t="s">
        <v>1450</v>
      </c>
      <c r="AU71" s="103" t="s">
        <v>912</v>
      </c>
      <c r="AV71" s="103" t="s">
        <v>984</v>
      </c>
    </row>
    <row r="72" spans="1:48">
      <c r="A72" s="102">
        <v>71</v>
      </c>
      <c r="B72" s="102" t="s">
        <v>3019</v>
      </c>
      <c r="C72" s="102" t="s">
        <v>1088</v>
      </c>
      <c r="D72" s="102" t="s">
        <v>2615</v>
      </c>
      <c r="E72" s="103" t="s">
        <v>2437</v>
      </c>
      <c r="F72" s="102" t="s">
        <v>2257</v>
      </c>
      <c r="G72" s="102" t="s">
        <v>2300</v>
      </c>
      <c r="H72" s="103" t="s">
        <v>1351</v>
      </c>
      <c r="I72" s="103" t="s">
        <v>1752</v>
      </c>
      <c r="J72" s="102" t="s">
        <v>2346</v>
      </c>
      <c r="K72" s="103" t="s">
        <v>152</v>
      </c>
      <c r="L72" s="102" t="s">
        <v>1239</v>
      </c>
      <c r="M72" s="102" t="s">
        <v>3019</v>
      </c>
      <c r="N72" s="103" t="s">
        <v>3660</v>
      </c>
      <c r="O72" s="103" t="s">
        <v>3698</v>
      </c>
      <c r="P72" s="103" t="s">
        <v>3785</v>
      </c>
      <c r="Q72" s="103" t="s">
        <v>3181</v>
      </c>
      <c r="R72" s="103" t="s">
        <v>3081</v>
      </c>
      <c r="S72" s="103" t="s">
        <v>1420</v>
      </c>
      <c r="T72" s="103" t="s">
        <v>3438</v>
      </c>
      <c r="U72" s="102" t="s">
        <v>2149</v>
      </c>
      <c r="V72" s="103" t="s">
        <v>1778</v>
      </c>
      <c r="W72" s="103" t="s">
        <v>1841</v>
      </c>
      <c r="X72" s="102" t="s">
        <v>1532</v>
      </c>
      <c r="Y72" s="102" t="s">
        <v>1589</v>
      </c>
      <c r="Z72" s="102" t="s">
        <v>1631</v>
      </c>
      <c r="AA72" s="102" t="s">
        <v>2546</v>
      </c>
      <c r="AB72" s="103" t="s">
        <v>1200</v>
      </c>
      <c r="AC72" s="103" t="s">
        <v>2707</v>
      </c>
      <c r="AD72" s="102" t="s">
        <v>1672</v>
      </c>
      <c r="AE72" s="103" t="s">
        <v>667</v>
      </c>
      <c r="AF72" s="103" t="s">
        <v>3299</v>
      </c>
      <c r="AG72" s="103" t="s">
        <v>3515</v>
      </c>
      <c r="AH72" s="103" t="s">
        <v>3135</v>
      </c>
      <c r="AI72" s="103" t="s">
        <v>1285</v>
      </c>
      <c r="AJ72" s="103" t="s">
        <v>1989</v>
      </c>
      <c r="AK72" s="103" t="s">
        <v>769</v>
      </c>
      <c r="AL72" s="103" t="s">
        <v>815</v>
      </c>
      <c r="AM72" s="102" t="s">
        <v>2062</v>
      </c>
      <c r="AN72" s="103" t="s">
        <v>3240</v>
      </c>
      <c r="AO72" s="102" t="s">
        <v>2097</v>
      </c>
      <c r="AP72" s="106" t="s">
        <v>1882</v>
      </c>
      <c r="AQ72" s="102" t="s">
        <v>842</v>
      </c>
      <c r="AR72" s="103" t="s">
        <v>1930</v>
      </c>
      <c r="AS72" s="103" t="s">
        <v>3594</v>
      </c>
      <c r="AT72" s="103" t="s">
        <v>1451</v>
      </c>
      <c r="AU72" s="103" t="s">
        <v>913</v>
      </c>
      <c r="AV72" s="103" t="s">
        <v>985</v>
      </c>
    </row>
    <row r="73" spans="1:48">
      <c r="A73" s="102">
        <v>72</v>
      </c>
      <c r="B73" s="102" t="s">
        <v>3020</v>
      </c>
      <c r="C73" s="102" t="s">
        <v>1089</v>
      </c>
      <c r="D73" s="102" t="s">
        <v>2616</v>
      </c>
      <c r="E73" s="103" t="s">
        <v>2438</v>
      </c>
      <c r="F73" s="102" t="s">
        <v>2258</v>
      </c>
      <c r="G73" s="102" t="s">
        <v>2301</v>
      </c>
      <c r="H73" s="103" t="s">
        <v>4197</v>
      </c>
      <c r="I73" s="103" t="s">
        <v>1753</v>
      </c>
      <c r="J73" s="102" t="s">
        <v>2347</v>
      </c>
      <c r="K73" s="103" t="s">
        <v>153</v>
      </c>
      <c r="L73" s="102" t="s">
        <v>1240</v>
      </c>
      <c r="M73" s="102" t="s">
        <v>3020</v>
      </c>
      <c r="N73" s="103" t="s">
        <v>2390</v>
      </c>
      <c r="O73" s="103" t="s">
        <v>3699</v>
      </c>
      <c r="P73" s="102" t="s">
        <v>3786</v>
      </c>
      <c r="Q73" s="103" t="s">
        <v>3182</v>
      </c>
      <c r="R73" s="103" t="s">
        <v>1481</v>
      </c>
      <c r="S73" s="103" t="s">
        <v>1421</v>
      </c>
      <c r="T73" s="103" t="s">
        <v>3439</v>
      </c>
      <c r="U73" s="102" t="s">
        <v>2150</v>
      </c>
      <c r="V73" s="103" t="s">
        <v>1779</v>
      </c>
      <c r="W73" s="103" t="s">
        <v>1842</v>
      </c>
      <c r="X73" s="102" t="s">
        <v>1533</v>
      </c>
      <c r="Y73" s="102" t="s">
        <v>1590</v>
      </c>
      <c r="Z73" s="102" t="s">
        <v>3020</v>
      </c>
      <c r="AA73" s="102" t="s">
        <v>2547</v>
      </c>
      <c r="AB73" s="103" t="s">
        <v>1201</v>
      </c>
      <c r="AC73" s="103" t="s">
        <v>2708</v>
      </c>
      <c r="AD73" s="102" t="s">
        <v>1673</v>
      </c>
      <c r="AE73" s="103" t="s">
        <v>668</v>
      </c>
      <c r="AF73" s="103" t="s">
        <v>3300</v>
      </c>
      <c r="AG73" s="103" t="s">
        <v>3516</v>
      </c>
      <c r="AH73" s="103" t="s">
        <v>3136</v>
      </c>
      <c r="AI73" s="103" t="s">
        <v>1286</v>
      </c>
      <c r="AJ73" s="103" t="s">
        <v>2001</v>
      </c>
      <c r="AK73" s="103" t="s">
        <v>770</v>
      </c>
      <c r="AL73" s="102" t="s">
        <v>2023</v>
      </c>
      <c r="AM73" s="102" t="s">
        <v>2063</v>
      </c>
      <c r="AN73" s="103" t="s">
        <v>3241</v>
      </c>
      <c r="AO73" s="102" t="s">
        <v>3020</v>
      </c>
      <c r="AP73" s="106" t="s">
        <v>1883</v>
      </c>
      <c r="AQ73" s="102" t="s">
        <v>843</v>
      </c>
      <c r="AR73" s="103" t="s">
        <v>1931</v>
      </c>
      <c r="AS73" s="103" t="s">
        <v>2491</v>
      </c>
      <c r="AT73" s="103" t="s">
        <v>2110</v>
      </c>
      <c r="AU73" s="103" t="s">
        <v>914</v>
      </c>
      <c r="AV73" s="103" t="s">
        <v>986</v>
      </c>
    </row>
    <row r="74" spans="1:48">
      <c r="A74" s="102">
        <v>73</v>
      </c>
      <c r="B74" s="102" t="s">
        <v>3021</v>
      </c>
      <c r="C74" s="102" t="s">
        <v>1090</v>
      </c>
      <c r="D74" s="102" t="s">
        <v>2617</v>
      </c>
      <c r="E74" s="103" t="s">
        <v>2439</v>
      </c>
      <c r="F74" s="102" t="s">
        <v>2259</v>
      </c>
      <c r="G74" s="102" t="s">
        <v>2302</v>
      </c>
      <c r="H74" s="103" t="s">
        <v>4198</v>
      </c>
      <c r="I74" s="103" t="s">
        <v>1754</v>
      </c>
      <c r="J74" s="102" t="s">
        <v>2348</v>
      </c>
      <c r="K74" s="103" t="s">
        <v>154</v>
      </c>
      <c r="L74" s="102" t="s">
        <v>1241</v>
      </c>
      <c r="M74" s="102" t="s">
        <v>3021</v>
      </c>
      <c r="N74" s="103" t="s">
        <v>2391</v>
      </c>
      <c r="O74" s="103" t="s">
        <v>3700</v>
      </c>
      <c r="P74" s="102" t="s">
        <v>3787</v>
      </c>
      <c r="Q74" s="103" t="s">
        <v>3183</v>
      </c>
      <c r="R74" s="103" t="s">
        <v>1482</v>
      </c>
      <c r="S74" s="103" t="s">
        <v>1422</v>
      </c>
      <c r="T74" s="103" t="s">
        <v>3440</v>
      </c>
      <c r="U74" s="102" t="s">
        <v>2151</v>
      </c>
      <c r="V74" s="103" t="s">
        <v>1780</v>
      </c>
      <c r="W74" s="103" t="s">
        <v>1843</v>
      </c>
      <c r="X74" s="102" t="s">
        <v>1534</v>
      </c>
      <c r="Y74" s="102" t="s">
        <v>1591</v>
      </c>
      <c r="Z74" s="102" t="s">
        <v>3021</v>
      </c>
      <c r="AA74" s="102" t="s">
        <v>2548</v>
      </c>
      <c r="AB74" s="103" t="s">
        <v>1202</v>
      </c>
      <c r="AC74" s="103" t="s">
        <v>2709</v>
      </c>
      <c r="AD74" s="102" t="s">
        <v>1674</v>
      </c>
      <c r="AE74" s="103" t="s">
        <v>669</v>
      </c>
      <c r="AF74" s="103" t="s">
        <v>3301</v>
      </c>
      <c r="AG74" s="103" t="s">
        <v>3517</v>
      </c>
      <c r="AH74" s="103" t="s">
        <v>3137</v>
      </c>
      <c r="AI74" s="103" t="s">
        <v>1287</v>
      </c>
      <c r="AJ74" s="103" t="s">
        <v>2002</v>
      </c>
      <c r="AK74" s="103" t="s">
        <v>771</v>
      </c>
      <c r="AL74" s="102" t="s">
        <v>2024</v>
      </c>
      <c r="AM74" s="102" t="s">
        <v>2064</v>
      </c>
      <c r="AN74" s="103" t="s">
        <v>3242</v>
      </c>
      <c r="AO74" s="102" t="s">
        <v>3021</v>
      </c>
      <c r="AP74" s="106" t="s">
        <v>1884</v>
      </c>
      <c r="AQ74" s="102" t="s">
        <v>844</v>
      </c>
      <c r="AR74" s="103" t="s">
        <v>1932</v>
      </c>
      <c r="AS74" s="103" t="s">
        <v>2492</v>
      </c>
      <c r="AT74" s="103" t="s">
        <v>2111</v>
      </c>
      <c r="AU74" s="103" t="s">
        <v>915</v>
      </c>
      <c r="AV74" s="103" t="s">
        <v>987</v>
      </c>
    </row>
    <row r="75" spans="1:48">
      <c r="A75" s="102">
        <v>74</v>
      </c>
      <c r="B75" s="102" t="s">
        <v>3031</v>
      </c>
      <c r="C75" s="102" t="s">
        <v>1091</v>
      </c>
      <c r="D75" s="102" t="s">
        <v>2618</v>
      </c>
      <c r="E75" s="103" t="s">
        <v>2440</v>
      </c>
      <c r="F75" s="102" t="s">
        <v>2260</v>
      </c>
      <c r="G75" s="102" t="s">
        <v>2303</v>
      </c>
      <c r="H75" s="103" t="s">
        <v>4199</v>
      </c>
      <c r="I75" s="103" t="s">
        <v>1755</v>
      </c>
      <c r="J75" s="102" t="s">
        <v>2349</v>
      </c>
      <c r="K75" s="103" t="s">
        <v>155</v>
      </c>
      <c r="L75" s="102" t="s">
        <v>1242</v>
      </c>
      <c r="M75" s="102" t="s">
        <v>3031</v>
      </c>
      <c r="N75" s="103" t="s">
        <v>2392</v>
      </c>
      <c r="O75" s="103" t="s">
        <v>3701</v>
      </c>
      <c r="P75" s="102" t="s">
        <v>3788</v>
      </c>
      <c r="Q75" s="103" t="s">
        <v>3184</v>
      </c>
      <c r="R75" s="103" t="s">
        <v>1483</v>
      </c>
      <c r="S75" s="103" t="s">
        <v>1423</v>
      </c>
      <c r="T75" s="103" t="s">
        <v>3441</v>
      </c>
      <c r="U75" s="102" t="s">
        <v>2152</v>
      </c>
      <c r="V75" s="103" t="s">
        <v>1781</v>
      </c>
      <c r="W75" s="103" t="s">
        <v>1844</v>
      </c>
      <c r="X75" s="102" t="s">
        <v>1535</v>
      </c>
      <c r="Y75" s="102" t="s">
        <v>1592</v>
      </c>
      <c r="Z75" s="102" t="s">
        <v>3031</v>
      </c>
      <c r="AA75" s="102" t="s">
        <v>2549</v>
      </c>
      <c r="AB75" s="103" t="s">
        <v>1203</v>
      </c>
      <c r="AC75" s="103" t="s">
        <v>2710</v>
      </c>
      <c r="AD75" s="102" t="s">
        <v>1675</v>
      </c>
      <c r="AE75" s="103" t="s">
        <v>670</v>
      </c>
      <c r="AF75" s="103" t="s">
        <v>3302</v>
      </c>
      <c r="AG75" s="103" t="s">
        <v>3518</v>
      </c>
      <c r="AH75" s="103" t="s">
        <v>3138</v>
      </c>
      <c r="AI75" s="103" t="s">
        <v>1288</v>
      </c>
      <c r="AJ75" s="103" t="s">
        <v>2003</v>
      </c>
      <c r="AK75" s="103" t="s">
        <v>772</v>
      </c>
      <c r="AL75" s="102" t="s">
        <v>2025</v>
      </c>
      <c r="AM75" s="102" t="s">
        <v>2065</v>
      </c>
      <c r="AN75" s="103" t="s">
        <v>3243</v>
      </c>
      <c r="AO75" s="102" t="s">
        <v>3031</v>
      </c>
      <c r="AP75" s="106" t="s">
        <v>1885</v>
      </c>
      <c r="AQ75" s="102" t="s">
        <v>845</v>
      </c>
      <c r="AR75" s="103" t="s">
        <v>1933</v>
      </c>
      <c r="AS75" s="103" t="s">
        <v>2493</v>
      </c>
      <c r="AT75" s="103" t="s">
        <v>2112</v>
      </c>
      <c r="AU75" s="103" t="s">
        <v>916</v>
      </c>
      <c r="AV75" s="103" t="s">
        <v>988</v>
      </c>
    </row>
    <row r="76" spans="1:48">
      <c r="A76" s="102">
        <v>75</v>
      </c>
      <c r="B76" s="102" t="s">
        <v>3022</v>
      </c>
      <c r="C76" s="102" t="s">
        <v>1092</v>
      </c>
      <c r="D76" s="102" t="s">
        <v>2619</v>
      </c>
      <c r="E76" s="103" t="s">
        <v>2441</v>
      </c>
      <c r="F76" s="102" t="s">
        <v>2261</v>
      </c>
      <c r="G76" s="102" t="s">
        <v>2304</v>
      </c>
      <c r="H76" s="103" t="s">
        <v>4200</v>
      </c>
      <c r="I76" s="103" t="s">
        <v>1756</v>
      </c>
      <c r="J76" s="102" t="s">
        <v>2350</v>
      </c>
      <c r="K76" s="103" t="s">
        <v>156</v>
      </c>
      <c r="L76" s="102" t="s">
        <v>1243</v>
      </c>
      <c r="M76" s="102" t="s">
        <v>3022</v>
      </c>
      <c r="N76" s="103" t="s">
        <v>2393</v>
      </c>
      <c r="O76" s="103" t="s">
        <v>3702</v>
      </c>
      <c r="P76" s="102" t="s">
        <v>3789</v>
      </c>
      <c r="Q76" s="103" t="s">
        <v>3185</v>
      </c>
      <c r="R76" s="103" t="s">
        <v>1484</v>
      </c>
      <c r="S76" s="103" t="s">
        <v>1424</v>
      </c>
      <c r="T76" s="103" t="s">
        <v>3442</v>
      </c>
      <c r="U76" s="102" t="s">
        <v>2153</v>
      </c>
      <c r="V76" s="103" t="s">
        <v>1782</v>
      </c>
      <c r="W76" s="103" t="s">
        <v>1845</v>
      </c>
      <c r="X76" s="102" t="s">
        <v>1536</v>
      </c>
      <c r="Y76" s="102" t="s">
        <v>1593</v>
      </c>
      <c r="Z76" s="102" t="s">
        <v>3022</v>
      </c>
      <c r="AA76" s="102" t="s">
        <v>2550</v>
      </c>
      <c r="AB76" s="103" t="s">
        <v>1204</v>
      </c>
      <c r="AC76" s="103" t="s">
        <v>2711</v>
      </c>
      <c r="AD76" s="102" t="s">
        <v>1676</v>
      </c>
      <c r="AE76" s="103" t="s">
        <v>671</v>
      </c>
      <c r="AF76" s="103" t="s">
        <v>3303</v>
      </c>
      <c r="AG76" s="103" t="s">
        <v>3519</v>
      </c>
      <c r="AH76" s="103" t="s">
        <v>3139</v>
      </c>
      <c r="AI76" s="103" t="s">
        <v>1289</v>
      </c>
      <c r="AJ76" s="103" t="s">
        <v>2004</v>
      </c>
      <c r="AK76" s="103" t="s">
        <v>773</v>
      </c>
      <c r="AL76" s="102" t="s">
        <v>2026</v>
      </c>
      <c r="AM76" s="102" t="s">
        <v>2066</v>
      </c>
      <c r="AN76" s="103" t="s">
        <v>3244</v>
      </c>
      <c r="AO76" s="102" t="s">
        <v>3022</v>
      </c>
      <c r="AP76" s="106" t="s">
        <v>1886</v>
      </c>
      <c r="AQ76" s="102" t="s">
        <v>846</v>
      </c>
      <c r="AR76" s="103" t="s">
        <v>1934</v>
      </c>
      <c r="AS76" s="103" t="s">
        <v>2494</v>
      </c>
      <c r="AT76" s="103" t="s">
        <v>2113</v>
      </c>
      <c r="AU76" s="103" t="s">
        <v>917</v>
      </c>
      <c r="AV76" s="103" t="s">
        <v>989</v>
      </c>
    </row>
    <row r="77" spans="1:48">
      <c r="A77" s="102">
        <v>76</v>
      </c>
      <c r="B77" s="102" t="s">
        <v>3023</v>
      </c>
      <c r="C77" s="102" t="s">
        <v>1093</v>
      </c>
      <c r="D77" s="102" t="s">
        <v>2620</v>
      </c>
      <c r="E77" s="103" t="s">
        <v>2442</v>
      </c>
      <c r="F77" s="102" t="s">
        <v>2262</v>
      </c>
      <c r="G77" s="102" t="s">
        <v>2305</v>
      </c>
      <c r="H77" s="103" t="s">
        <v>4201</v>
      </c>
      <c r="I77" s="103" t="s">
        <v>1757</v>
      </c>
      <c r="J77" s="102" t="s">
        <v>2351</v>
      </c>
      <c r="K77" s="103" t="s">
        <v>157</v>
      </c>
      <c r="L77" s="102" t="s">
        <v>1244</v>
      </c>
      <c r="M77" s="102" t="s">
        <v>3023</v>
      </c>
      <c r="N77" s="103" t="s">
        <v>2394</v>
      </c>
      <c r="O77" s="103" t="s">
        <v>3703</v>
      </c>
      <c r="P77" s="102" t="s">
        <v>3790</v>
      </c>
      <c r="Q77" s="103" t="s">
        <v>3186</v>
      </c>
      <c r="R77" s="103" t="s">
        <v>1485</v>
      </c>
      <c r="S77" s="103" t="s">
        <v>1425</v>
      </c>
      <c r="T77" s="103" t="s">
        <v>3443</v>
      </c>
      <c r="U77" s="102" t="s">
        <v>2154</v>
      </c>
      <c r="V77" s="103" t="s">
        <v>1783</v>
      </c>
      <c r="W77" s="103" t="s">
        <v>1846</v>
      </c>
      <c r="X77" s="102" t="s">
        <v>1537</v>
      </c>
      <c r="Y77" s="102" t="s">
        <v>1594</v>
      </c>
      <c r="Z77" s="102" t="s">
        <v>3023</v>
      </c>
      <c r="AA77" s="102" t="s">
        <v>2551</v>
      </c>
      <c r="AB77" s="103" t="s">
        <v>1205</v>
      </c>
      <c r="AC77" s="103" t="s">
        <v>2712</v>
      </c>
      <c r="AD77" s="102" t="s">
        <v>1677</v>
      </c>
      <c r="AE77" s="103" t="s">
        <v>672</v>
      </c>
      <c r="AF77" s="103" t="s">
        <v>3304</v>
      </c>
      <c r="AG77" s="103" t="s">
        <v>3520</v>
      </c>
      <c r="AH77" s="103" t="s">
        <v>3140</v>
      </c>
      <c r="AI77" s="103" t="s">
        <v>1290</v>
      </c>
      <c r="AJ77" s="103" t="s">
        <v>1990</v>
      </c>
      <c r="AK77" s="103" t="s">
        <v>774</v>
      </c>
      <c r="AL77" s="102" t="s">
        <v>2027</v>
      </c>
      <c r="AM77" s="102" t="s">
        <v>2067</v>
      </c>
      <c r="AN77" s="103" t="s">
        <v>3245</v>
      </c>
      <c r="AO77" s="102" t="s">
        <v>3023</v>
      </c>
      <c r="AP77" s="106" t="s">
        <v>1887</v>
      </c>
      <c r="AQ77" s="102" t="s">
        <v>847</v>
      </c>
      <c r="AR77" s="103" t="s">
        <v>1935</v>
      </c>
      <c r="AS77" s="103" t="s">
        <v>2495</v>
      </c>
      <c r="AT77" s="103" t="s">
        <v>2114</v>
      </c>
      <c r="AU77" s="103" t="s">
        <v>918</v>
      </c>
      <c r="AV77" s="103" t="s">
        <v>990</v>
      </c>
    </row>
    <row r="78" spans="1:48">
      <c r="A78" s="102">
        <v>77</v>
      </c>
      <c r="B78" s="102" t="s">
        <v>3024</v>
      </c>
      <c r="C78" s="102" t="s">
        <v>1094</v>
      </c>
      <c r="D78" s="102" t="s">
        <v>2621</v>
      </c>
      <c r="E78" s="103" t="s">
        <v>2443</v>
      </c>
      <c r="F78" s="102" t="s">
        <v>2263</v>
      </c>
      <c r="G78" s="102" t="s">
        <v>2306</v>
      </c>
      <c r="H78" s="103" t="s">
        <v>4202</v>
      </c>
      <c r="I78" s="103" t="s">
        <v>1758</v>
      </c>
      <c r="J78" s="102" t="s">
        <v>2352</v>
      </c>
      <c r="K78" s="103" t="s">
        <v>158</v>
      </c>
      <c r="L78" s="102" t="s">
        <v>1245</v>
      </c>
      <c r="M78" s="102" t="s">
        <v>3024</v>
      </c>
      <c r="N78" s="103" t="s">
        <v>2395</v>
      </c>
      <c r="O78" s="103" t="s">
        <v>3704</v>
      </c>
      <c r="P78" s="102" t="s">
        <v>3791</v>
      </c>
      <c r="Q78" s="103" t="s">
        <v>3187</v>
      </c>
      <c r="R78" s="103" t="s">
        <v>1486</v>
      </c>
      <c r="S78" s="103" t="s">
        <v>1426</v>
      </c>
      <c r="T78" s="103" t="s">
        <v>3444</v>
      </c>
      <c r="U78" s="102" t="s">
        <v>2155</v>
      </c>
      <c r="V78" s="103" t="s">
        <v>1784</v>
      </c>
      <c r="W78" s="103" t="s">
        <v>1847</v>
      </c>
      <c r="X78" s="102" t="s">
        <v>1538</v>
      </c>
      <c r="Y78" s="102" t="s">
        <v>1595</v>
      </c>
      <c r="Z78" s="102" t="s">
        <v>3024</v>
      </c>
      <c r="AA78" s="102" t="s">
        <v>2552</v>
      </c>
      <c r="AB78" s="103" t="s">
        <v>1206</v>
      </c>
      <c r="AC78" s="103" t="s">
        <v>2713</v>
      </c>
      <c r="AD78" s="102" t="s">
        <v>1678</v>
      </c>
      <c r="AE78" s="103" t="s">
        <v>673</v>
      </c>
      <c r="AF78" s="103" t="s">
        <v>3305</v>
      </c>
      <c r="AG78" s="103" t="s">
        <v>3521</v>
      </c>
      <c r="AH78" s="103" t="s">
        <v>3141</v>
      </c>
      <c r="AI78" s="103" t="s">
        <v>1291</v>
      </c>
      <c r="AJ78" s="103" t="s">
        <v>1991</v>
      </c>
      <c r="AK78" s="103" t="s">
        <v>775</v>
      </c>
      <c r="AL78" s="102" t="s">
        <v>2028</v>
      </c>
      <c r="AM78" s="102" t="s">
        <v>2068</v>
      </c>
      <c r="AN78" s="103" t="s">
        <v>3246</v>
      </c>
      <c r="AO78" s="102" t="s">
        <v>3024</v>
      </c>
      <c r="AP78" s="106" t="s">
        <v>1888</v>
      </c>
      <c r="AQ78" s="102" t="s">
        <v>848</v>
      </c>
      <c r="AR78" s="103" t="s">
        <v>1936</v>
      </c>
      <c r="AS78" s="103" t="s">
        <v>2496</v>
      </c>
      <c r="AT78" s="103" t="s">
        <v>2115</v>
      </c>
      <c r="AU78" s="103" t="s">
        <v>919</v>
      </c>
      <c r="AV78" s="103" t="s">
        <v>991</v>
      </c>
    </row>
    <row r="79" spans="1:48">
      <c r="A79" s="102">
        <v>78</v>
      </c>
      <c r="B79" s="102" t="s">
        <v>3030</v>
      </c>
      <c r="C79" s="102" t="s">
        <v>1095</v>
      </c>
      <c r="D79" s="102" t="s">
        <v>2622</v>
      </c>
      <c r="E79" s="103" t="s">
        <v>2444</v>
      </c>
      <c r="F79" s="102" t="s">
        <v>2264</v>
      </c>
      <c r="G79" s="102" t="s">
        <v>2307</v>
      </c>
      <c r="H79" s="103" t="s">
        <v>4203</v>
      </c>
      <c r="I79" s="103" t="s">
        <v>1759</v>
      </c>
      <c r="J79" s="102" t="s">
        <v>2353</v>
      </c>
      <c r="K79" s="103" t="s">
        <v>159</v>
      </c>
      <c r="L79" s="102" t="s">
        <v>1246</v>
      </c>
      <c r="M79" s="102" t="s">
        <v>3030</v>
      </c>
      <c r="N79" s="103" t="s">
        <v>2396</v>
      </c>
      <c r="O79" s="103" t="s">
        <v>3705</v>
      </c>
      <c r="P79" s="102" t="s">
        <v>3792</v>
      </c>
      <c r="Q79" s="103" t="s">
        <v>3188</v>
      </c>
      <c r="R79" s="103" t="s">
        <v>1487</v>
      </c>
      <c r="S79" s="103" t="s">
        <v>1427</v>
      </c>
      <c r="T79" s="103" t="s">
        <v>3445</v>
      </c>
      <c r="U79" s="102" t="s">
        <v>2156</v>
      </c>
      <c r="V79" s="103" t="s">
        <v>1785</v>
      </c>
      <c r="W79" s="103" t="s">
        <v>1848</v>
      </c>
      <c r="X79" s="102" t="s">
        <v>1539</v>
      </c>
      <c r="Y79" s="102" t="s">
        <v>1596</v>
      </c>
      <c r="Z79" s="102" t="s">
        <v>3030</v>
      </c>
      <c r="AA79" s="102" t="s">
        <v>2553</v>
      </c>
      <c r="AB79" s="103" t="s">
        <v>1207</v>
      </c>
      <c r="AC79" s="103" t="s">
        <v>2714</v>
      </c>
      <c r="AD79" s="102" t="s">
        <v>1679</v>
      </c>
      <c r="AE79" s="103" t="s">
        <v>674</v>
      </c>
      <c r="AF79" s="103" t="s">
        <v>3306</v>
      </c>
      <c r="AG79" s="103" t="s">
        <v>3522</v>
      </c>
      <c r="AH79" s="103" t="s">
        <v>3142</v>
      </c>
      <c r="AI79" s="103" t="s">
        <v>1292</v>
      </c>
      <c r="AJ79" s="103" t="s">
        <v>1992</v>
      </c>
      <c r="AK79" s="103" t="s">
        <v>776</v>
      </c>
      <c r="AL79" s="102" t="s">
        <v>2029</v>
      </c>
      <c r="AM79" s="102" t="s">
        <v>2069</v>
      </c>
      <c r="AN79" s="103" t="s">
        <v>3247</v>
      </c>
      <c r="AO79" s="102" t="s">
        <v>3030</v>
      </c>
      <c r="AP79" s="106" t="s">
        <v>1889</v>
      </c>
      <c r="AQ79" s="102" t="s">
        <v>849</v>
      </c>
      <c r="AR79" s="103" t="s">
        <v>1937</v>
      </c>
      <c r="AS79" s="103" t="s">
        <v>2497</v>
      </c>
      <c r="AT79" s="103" t="s">
        <v>2116</v>
      </c>
      <c r="AU79" s="103" t="s">
        <v>920</v>
      </c>
      <c r="AV79" s="103" t="s">
        <v>992</v>
      </c>
    </row>
    <row r="80" spans="1:48">
      <c r="A80" s="102">
        <v>79</v>
      </c>
      <c r="B80" s="102" t="s">
        <v>3029</v>
      </c>
      <c r="C80" s="102" t="s">
        <v>1096</v>
      </c>
      <c r="D80" s="102" t="s">
        <v>2623</v>
      </c>
      <c r="E80" s="103" t="s">
        <v>2445</v>
      </c>
      <c r="F80" s="102" t="s">
        <v>2265</v>
      </c>
      <c r="G80" s="102" t="s">
        <v>2308</v>
      </c>
      <c r="H80" s="103" t="s">
        <v>4204</v>
      </c>
      <c r="I80" s="103" t="s">
        <v>1760</v>
      </c>
      <c r="J80" s="102" t="s">
        <v>2354</v>
      </c>
      <c r="K80" s="103" t="s">
        <v>160</v>
      </c>
      <c r="L80" s="102" t="s">
        <v>1247</v>
      </c>
      <c r="M80" s="102" t="s">
        <v>3029</v>
      </c>
      <c r="N80" s="103" t="s">
        <v>1460</v>
      </c>
      <c r="O80" s="103" t="s">
        <v>3706</v>
      </c>
      <c r="P80" s="102" t="s">
        <v>3793</v>
      </c>
      <c r="Q80" s="103" t="s">
        <v>3189</v>
      </c>
      <c r="R80" s="103" t="s">
        <v>1488</v>
      </c>
      <c r="S80" s="103" t="s">
        <v>1428</v>
      </c>
      <c r="T80" s="103" t="s">
        <v>3446</v>
      </c>
      <c r="U80" s="102" t="s">
        <v>2157</v>
      </c>
      <c r="V80" s="103" t="s">
        <v>1786</v>
      </c>
      <c r="W80" s="103" t="s">
        <v>1849</v>
      </c>
      <c r="X80" s="102" t="s">
        <v>1540</v>
      </c>
      <c r="Y80" s="102" t="s">
        <v>1597</v>
      </c>
      <c r="Z80" s="102" t="s">
        <v>3029</v>
      </c>
      <c r="AA80" s="102" t="s">
        <v>2554</v>
      </c>
      <c r="AB80" s="103" t="s">
        <v>1208</v>
      </c>
      <c r="AC80" s="103" t="s">
        <v>2715</v>
      </c>
      <c r="AD80" s="102" t="s">
        <v>1680</v>
      </c>
      <c r="AE80" s="103" t="s">
        <v>675</v>
      </c>
      <c r="AF80" s="103" t="s">
        <v>3307</v>
      </c>
      <c r="AG80" s="103" t="s">
        <v>3523</v>
      </c>
      <c r="AH80" s="103" t="s">
        <v>3143</v>
      </c>
      <c r="AI80" s="103" t="s">
        <v>1293</v>
      </c>
      <c r="AJ80" s="103" t="s">
        <v>1993</v>
      </c>
      <c r="AK80" s="103" t="s">
        <v>777</v>
      </c>
      <c r="AL80" s="102" t="s">
        <v>2030</v>
      </c>
      <c r="AM80" s="102" t="s">
        <v>2070</v>
      </c>
      <c r="AN80" s="103" t="s">
        <v>3248</v>
      </c>
      <c r="AO80" s="102" t="s">
        <v>3029</v>
      </c>
      <c r="AP80" s="106" t="s">
        <v>1890</v>
      </c>
      <c r="AQ80" s="102" t="s">
        <v>850</v>
      </c>
      <c r="AR80" s="103" t="s">
        <v>1938</v>
      </c>
      <c r="AS80" s="103" t="s">
        <v>2498</v>
      </c>
      <c r="AT80" s="103" t="s">
        <v>2117</v>
      </c>
      <c r="AU80" s="103" t="s">
        <v>921</v>
      </c>
      <c r="AV80" s="103" t="s">
        <v>993</v>
      </c>
    </row>
    <row r="81" spans="1:48">
      <c r="A81" s="102">
        <v>80</v>
      </c>
      <c r="B81" s="102" t="s">
        <v>3025</v>
      </c>
      <c r="C81" s="102" t="s">
        <v>1097</v>
      </c>
      <c r="D81" s="102" t="s">
        <v>2624</v>
      </c>
      <c r="E81" s="103" t="s">
        <v>2446</v>
      </c>
      <c r="F81" s="102" t="s">
        <v>2266</v>
      </c>
      <c r="G81" s="102" t="s">
        <v>2309</v>
      </c>
      <c r="H81" s="103" t="s">
        <v>4205</v>
      </c>
      <c r="I81" s="103" t="s">
        <v>1761</v>
      </c>
      <c r="J81" s="102" t="s">
        <v>2355</v>
      </c>
      <c r="K81" s="103" t="s">
        <v>161</v>
      </c>
      <c r="L81" s="102" t="s">
        <v>1248</v>
      </c>
      <c r="M81" s="102" t="s">
        <v>3025</v>
      </c>
      <c r="N81" s="103" t="s">
        <v>1461</v>
      </c>
      <c r="O81" s="103" t="s">
        <v>3707</v>
      </c>
      <c r="P81" s="102" t="s">
        <v>3794</v>
      </c>
      <c r="Q81" s="103" t="s">
        <v>3190</v>
      </c>
      <c r="R81" s="103" t="s">
        <v>1489</v>
      </c>
      <c r="S81" s="103" t="s">
        <v>1429</v>
      </c>
      <c r="T81" s="103" t="s">
        <v>3447</v>
      </c>
      <c r="U81" s="102" t="s">
        <v>2158</v>
      </c>
      <c r="V81" s="103" t="s">
        <v>1787</v>
      </c>
      <c r="W81" s="103" t="s">
        <v>1850</v>
      </c>
      <c r="X81" s="102" t="s">
        <v>1541</v>
      </c>
      <c r="Y81" s="102" t="s">
        <v>1598</v>
      </c>
      <c r="Z81" s="102" t="s">
        <v>3025</v>
      </c>
      <c r="AA81" s="102" t="s">
        <v>2555</v>
      </c>
      <c r="AB81" s="103" t="s">
        <v>1209</v>
      </c>
      <c r="AC81" s="103" t="s">
        <v>2716</v>
      </c>
      <c r="AD81" s="102" t="s">
        <v>1681</v>
      </c>
      <c r="AE81" s="103" t="s">
        <v>676</v>
      </c>
      <c r="AF81" s="103" t="s">
        <v>3308</v>
      </c>
      <c r="AG81" s="103" t="s">
        <v>3524</v>
      </c>
      <c r="AH81" s="103" t="s">
        <v>3144</v>
      </c>
      <c r="AI81" s="103" t="s">
        <v>1294</v>
      </c>
      <c r="AJ81" s="103" t="s">
        <v>1994</v>
      </c>
      <c r="AK81" s="103" t="s">
        <v>778</v>
      </c>
      <c r="AL81" s="102" t="s">
        <v>2031</v>
      </c>
      <c r="AM81" s="102" t="s">
        <v>2071</v>
      </c>
      <c r="AN81" s="103" t="s">
        <v>3249</v>
      </c>
      <c r="AO81" s="102" t="s">
        <v>3025</v>
      </c>
      <c r="AP81" s="106" t="s">
        <v>1891</v>
      </c>
      <c r="AQ81" s="102" t="s">
        <v>851</v>
      </c>
      <c r="AR81" s="103" t="s">
        <v>1939</v>
      </c>
      <c r="AS81" s="103" t="s">
        <v>2499</v>
      </c>
      <c r="AT81" s="103" t="s">
        <v>2118</v>
      </c>
      <c r="AU81" s="103" t="s">
        <v>922</v>
      </c>
      <c r="AV81" s="103" t="s">
        <v>994</v>
      </c>
    </row>
    <row r="82" spans="1:48">
      <c r="A82" s="102">
        <v>81</v>
      </c>
      <c r="B82" s="102" t="s">
        <v>3026</v>
      </c>
      <c r="C82" s="102" t="s">
        <v>1098</v>
      </c>
      <c r="D82" s="102" t="s">
        <v>2625</v>
      </c>
      <c r="E82" s="103" t="s">
        <v>2447</v>
      </c>
      <c r="F82" s="102" t="s">
        <v>2267</v>
      </c>
      <c r="G82" s="102" t="s">
        <v>2310</v>
      </c>
      <c r="H82" s="103" t="s">
        <v>4206</v>
      </c>
      <c r="I82" s="103" t="s">
        <v>1762</v>
      </c>
      <c r="J82" s="102" t="s">
        <v>2356</v>
      </c>
      <c r="K82" s="103" t="s">
        <v>162</v>
      </c>
      <c r="L82" s="102" t="s">
        <v>1249</v>
      </c>
      <c r="M82" s="102" t="s">
        <v>3026</v>
      </c>
      <c r="N82" s="103" t="s">
        <v>1462</v>
      </c>
      <c r="O82" s="103" t="s">
        <v>3708</v>
      </c>
      <c r="P82" s="102" t="s">
        <v>3795</v>
      </c>
      <c r="Q82" s="103" t="s">
        <v>3191</v>
      </c>
      <c r="R82" s="103" t="s">
        <v>1490</v>
      </c>
      <c r="S82" s="103" t="s">
        <v>1430</v>
      </c>
      <c r="T82" s="103" t="s">
        <v>3448</v>
      </c>
      <c r="U82" s="102" t="s">
        <v>2159</v>
      </c>
      <c r="V82" s="103" t="s">
        <v>1788</v>
      </c>
      <c r="W82" s="103" t="s">
        <v>1851</v>
      </c>
      <c r="X82" s="102" t="s">
        <v>1542</v>
      </c>
      <c r="Y82" s="102" t="s">
        <v>1599</v>
      </c>
      <c r="Z82" s="102" t="s">
        <v>3026</v>
      </c>
      <c r="AA82" s="102" t="s">
        <v>2556</v>
      </c>
      <c r="AB82" s="103" t="s">
        <v>1210</v>
      </c>
      <c r="AC82" s="103" t="s">
        <v>2717</v>
      </c>
      <c r="AD82" s="102" t="s">
        <v>1682</v>
      </c>
      <c r="AE82" s="103" t="s">
        <v>677</v>
      </c>
      <c r="AF82" s="103" t="s">
        <v>3309</v>
      </c>
      <c r="AG82" s="103" t="s">
        <v>3525</v>
      </c>
      <c r="AH82" s="103" t="s">
        <v>3145</v>
      </c>
      <c r="AI82" s="103" t="s">
        <v>1295</v>
      </c>
      <c r="AJ82" s="103" t="s">
        <v>1995</v>
      </c>
      <c r="AK82" s="103" t="s">
        <v>779</v>
      </c>
      <c r="AL82" s="102" t="s">
        <v>2032</v>
      </c>
      <c r="AM82" s="102" t="s">
        <v>2072</v>
      </c>
      <c r="AN82" s="103" t="s">
        <v>3250</v>
      </c>
      <c r="AO82" s="102" t="s">
        <v>3026</v>
      </c>
      <c r="AP82" s="106" t="s">
        <v>1892</v>
      </c>
      <c r="AQ82" s="102" t="s">
        <v>852</v>
      </c>
      <c r="AR82" s="103" t="s">
        <v>1940</v>
      </c>
      <c r="AS82" s="103" t="s">
        <v>2500</v>
      </c>
      <c r="AT82" s="103" t="s">
        <v>2119</v>
      </c>
      <c r="AU82" s="103" t="s">
        <v>923</v>
      </c>
      <c r="AV82" s="103" t="s">
        <v>995</v>
      </c>
    </row>
    <row r="83" spans="1:48">
      <c r="A83" s="102">
        <v>82</v>
      </c>
      <c r="B83" s="102" t="s">
        <v>3027</v>
      </c>
      <c r="C83" s="102" t="s">
        <v>1099</v>
      </c>
      <c r="D83" s="102" t="s">
        <v>2626</v>
      </c>
      <c r="E83" s="103" t="s">
        <v>2448</v>
      </c>
      <c r="F83" s="102" t="s">
        <v>2268</v>
      </c>
      <c r="G83" s="102" t="s">
        <v>2311</v>
      </c>
      <c r="H83" s="103" t="s">
        <v>4207</v>
      </c>
      <c r="I83" s="103" t="s">
        <v>1763</v>
      </c>
      <c r="J83" s="102" t="s">
        <v>2357</v>
      </c>
      <c r="K83" s="103" t="s">
        <v>163</v>
      </c>
      <c r="L83" s="102" t="s">
        <v>1250</v>
      </c>
      <c r="M83" s="102" t="s">
        <v>3027</v>
      </c>
      <c r="N83" s="103" t="s">
        <v>1463</v>
      </c>
      <c r="O83" s="103" t="s">
        <v>3709</v>
      </c>
      <c r="P83" s="102" t="s">
        <v>3796</v>
      </c>
      <c r="Q83" s="103" t="s">
        <v>3192</v>
      </c>
      <c r="R83" s="103" t="s">
        <v>1491</v>
      </c>
      <c r="S83" s="103" t="s">
        <v>3337</v>
      </c>
      <c r="T83" s="103" t="s">
        <v>3449</v>
      </c>
      <c r="U83" s="102" t="s">
        <v>2160</v>
      </c>
      <c r="V83" s="103" t="s">
        <v>1789</v>
      </c>
      <c r="W83" s="103" t="s">
        <v>1852</v>
      </c>
      <c r="X83" s="102" t="s">
        <v>1543</v>
      </c>
      <c r="Y83" s="102" t="s">
        <v>1600</v>
      </c>
      <c r="Z83" s="102" t="s">
        <v>3027</v>
      </c>
      <c r="AA83" s="102" t="s">
        <v>2557</v>
      </c>
      <c r="AB83" s="103" t="s">
        <v>1211</v>
      </c>
      <c r="AC83" s="103" t="s">
        <v>2718</v>
      </c>
      <c r="AD83" s="102" t="s">
        <v>1683</v>
      </c>
      <c r="AE83" s="103" t="s">
        <v>678</v>
      </c>
      <c r="AF83" s="103" t="s">
        <v>3310</v>
      </c>
      <c r="AG83" s="103" t="s">
        <v>3526</v>
      </c>
      <c r="AH83" s="103" t="s">
        <v>3146</v>
      </c>
      <c r="AI83" s="103" t="s">
        <v>1296</v>
      </c>
      <c r="AJ83" s="103" t="s">
        <v>1996</v>
      </c>
      <c r="AK83" s="103" t="s">
        <v>780</v>
      </c>
      <c r="AL83" s="102" t="s">
        <v>2033</v>
      </c>
      <c r="AM83" s="102" t="s">
        <v>2073</v>
      </c>
      <c r="AN83" s="103" t="s">
        <v>3251</v>
      </c>
      <c r="AO83" s="102" t="s">
        <v>3027</v>
      </c>
      <c r="AP83" s="106" t="s">
        <v>1893</v>
      </c>
      <c r="AQ83" s="102" t="s">
        <v>853</v>
      </c>
      <c r="AR83" s="103" t="s">
        <v>1941</v>
      </c>
      <c r="AS83" s="103" t="s">
        <v>2501</v>
      </c>
      <c r="AT83" s="103" t="s">
        <v>2120</v>
      </c>
      <c r="AU83" s="103" t="s">
        <v>924</v>
      </c>
      <c r="AV83" s="103" t="s">
        <v>996</v>
      </c>
    </row>
    <row r="84" spans="1:48">
      <c r="A84" s="102">
        <v>83</v>
      </c>
      <c r="B84" s="102" t="s">
        <v>3028</v>
      </c>
      <c r="C84" s="102" t="s">
        <v>1100</v>
      </c>
      <c r="D84" s="102" t="s">
        <v>2627</v>
      </c>
      <c r="E84" s="103" t="s">
        <v>2449</v>
      </c>
      <c r="F84" s="102" t="s">
        <v>2269</v>
      </c>
      <c r="G84" s="102" t="s">
        <v>2312</v>
      </c>
      <c r="H84" s="103" t="s">
        <v>4208</v>
      </c>
      <c r="I84" s="103" t="s">
        <v>1764</v>
      </c>
      <c r="J84" s="102" t="s">
        <v>2358</v>
      </c>
      <c r="K84" s="103" t="s">
        <v>164</v>
      </c>
      <c r="L84" s="102" t="s">
        <v>1251</v>
      </c>
      <c r="M84" s="102" t="s">
        <v>3028</v>
      </c>
      <c r="N84" s="103" t="s">
        <v>1464</v>
      </c>
      <c r="O84" s="103" t="s">
        <v>3710</v>
      </c>
      <c r="P84" s="102" t="s">
        <v>3797</v>
      </c>
      <c r="Q84" s="103" t="s">
        <v>3193</v>
      </c>
      <c r="R84" s="103" t="s">
        <v>1492</v>
      </c>
      <c r="S84" s="103" t="s">
        <v>3338</v>
      </c>
      <c r="T84" s="103" t="s">
        <v>3450</v>
      </c>
      <c r="U84" s="102" t="s">
        <v>2161</v>
      </c>
      <c r="V84" s="103" t="s">
        <v>1790</v>
      </c>
      <c r="W84" s="103" t="s">
        <v>1853</v>
      </c>
      <c r="X84" s="102" t="s">
        <v>1544</v>
      </c>
      <c r="Y84" s="102" t="s">
        <v>1601</v>
      </c>
      <c r="Z84" s="102" t="s">
        <v>3028</v>
      </c>
      <c r="AA84" s="102" t="s">
        <v>2558</v>
      </c>
      <c r="AB84" s="103" t="s">
        <v>1212</v>
      </c>
      <c r="AC84" s="103" t="s">
        <v>2719</v>
      </c>
      <c r="AD84" s="102" t="s">
        <v>1684</v>
      </c>
      <c r="AE84" s="103" t="s">
        <v>679</v>
      </c>
      <c r="AF84" s="103" t="s">
        <v>3311</v>
      </c>
      <c r="AG84" s="103" t="s">
        <v>3527</v>
      </c>
      <c r="AH84" s="103" t="s">
        <v>3147</v>
      </c>
      <c r="AI84" s="103" t="s">
        <v>1297</v>
      </c>
      <c r="AJ84" s="103" t="s">
        <v>1997</v>
      </c>
      <c r="AK84" s="103" t="s">
        <v>781</v>
      </c>
      <c r="AL84" s="102" t="s">
        <v>2034</v>
      </c>
      <c r="AM84" s="102" t="s">
        <v>2074</v>
      </c>
      <c r="AN84" s="103" t="s">
        <v>3252</v>
      </c>
      <c r="AO84" s="102" t="s">
        <v>3028</v>
      </c>
      <c r="AP84" s="106" t="s">
        <v>2108</v>
      </c>
      <c r="AQ84" s="102" t="s">
        <v>2108</v>
      </c>
      <c r="AR84" s="103" t="s">
        <v>1942</v>
      </c>
      <c r="AS84" s="103" t="s">
        <v>2502</v>
      </c>
      <c r="AT84" s="103" t="s">
        <v>2121</v>
      </c>
      <c r="AU84" s="103" t="s">
        <v>925</v>
      </c>
      <c r="AV84" s="103" t="s">
        <v>997</v>
      </c>
    </row>
    <row r="85" spans="1:48">
      <c r="A85" s="102">
        <v>84</v>
      </c>
      <c r="B85" s="102" t="s">
        <v>1949</v>
      </c>
      <c r="C85" s="102" t="s">
        <v>2213</v>
      </c>
      <c r="D85" s="102" t="s">
        <v>2222</v>
      </c>
      <c r="E85" s="102" t="s">
        <v>2240</v>
      </c>
      <c r="F85" s="102" t="s">
        <v>2270</v>
      </c>
      <c r="G85" s="102" t="s">
        <v>2313</v>
      </c>
      <c r="H85" s="102" t="s">
        <v>2328</v>
      </c>
      <c r="I85" s="102" t="s">
        <v>566</v>
      </c>
      <c r="J85" s="102" t="s">
        <v>2359</v>
      </c>
      <c r="K85" s="102" t="s">
        <v>2378</v>
      </c>
      <c r="L85" s="102" t="s">
        <v>2389</v>
      </c>
      <c r="M85" s="102" t="s">
        <v>1949</v>
      </c>
      <c r="N85" s="102" t="s">
        <v>1465</v>
      </c>
      <c r="O85" s="102" t="s">
        <v>1470</v>
      </c>
      <c r="P85" s="102" t="s">
        <v>1949</v>
      </c>
      <c r="Q85" s="102" t="s">
        <v>1480</v>
      </c>
      <c r="R85" s="102" t="s">
        <v>1493</v>
      </c>
      <c r="S85" s="102" t="s">
        <v>1949</v>
      </c>
      <c r="T85" s="102" t="s">
        <v>1499</v>
      </c>
      <c r="U85" s="102" t="s">
        <v>2162</v>
      </c>
      <c r="V85" s="102" t="s">
        <v>1949</v>
      </c>
      <c r="W85" s="102" t="s">
        <v>1506</v>
      </c>
      <c r="X85" s="102" t="s">
        <v>1545</v>
      </c>
      <c r="Y85" s="102" t="s">
        <v>1602</v>
      </c>
      <c r="Z85" s="102" t="s">
        <v>1632</v>
      </c>
      <c r="AA85" s="102" t="s">
        <v>1949</v>
      </c>
      <c r="AB85" s="102" t="s">
        <v>1647</v>
      </c>
      <c r="AC85" s="102" t="s">
        <v>1949</v>
      </c>
      <c r="AD85" s="102" t="s">
        <v>1685</v>
      </c>
      <c r="AE85" s="102" t="s">
        <v>1949</v>
      </c>
      <c r="AF85" s="102" t="s">
        <v>1949</v>
      </c>
      <c r="AG85" s="102" t="s">
        <v>1949</v>
      </c>
      <c r="AH85" s="102" t="s">
        <v>1714</v>
      </c>
      <c r="AI85" s="102" t="s">
        <v>1949</v>
      </c>
      <c r="AJ85" s="102" t="s">
        <v>2005</v>
      </c>
      <c r="AK85" s="102" t="s">
        <v>2015</v>
      </c>
      <c r="AL85" s="102" t="s">
        <v>2035</v>
      </c>
      <c r="AM85" s="102" t="s">
        <v>2075</v>
      </c>
      <c r="AN85" s="102" t="s">
        <v>1949</v>
      </c>
      <c r="AO85" s="102" t="s">
        <v>2098</v>
      </c>
      <c r="AP85" s="102" t="s">
        <v>2109</v>
      </c>
      <c r="AQ85" s="102" t="s">
        <v>2109</v>
      </c>
      <c r="AR85" s="103" t="s">
        <v>1712</v>
      </c>
      <c r="AS85" s="102" t="s">
        <v>2106</v>
      </c>
      <c r="AT85" s="102" t="s">
        <v>2122</v>
      </c>
      <c r="AU85" s="102" t="s">
        <v>1949</v>
      </c>
      <c r="AV85" s="102" t="s">
        <v>2123</v>
      </c>
    </row>
    <row r="86" spans="1:48" ht="15">
      <c r="A86" s="102">
        <v>85</v>
      </c>
      <c r="B86" s="102" t="s">
        <v>1950</v>
      </c>
      <c r="C86" s="102" t="s">
        <v>2214</v>
      </c>
      <c r="D86" s="102" t="s">
        <v>2628</v>
      </c>
      <c r="E86" s="103" t="s">
        <v>2465</v>
      </c>
      <c r="F86" s="102" t="s">
        <v>2271</v>
      </c>
      <c r="G86" s="102" t="s">
        <v>2314</v>
      </c>
      <c r="H86" s="105" t="s">
        <v>1343</v>
      </c>
      <c r="I86" s="103" t="s">
        <v>1765</v>
      </c>
      <c r="J86" s="102" t="s">
        <v>1950</v>
      </c>
      <c r="K86" s="103" t="s">
        <v>134</v>
      </c>
      <c r="L86" s="102" t="s">
        <v>1252</v>
      </c>
      <c r="M86" s="102" t="s">
        <v>1950</v>
      </c>
      <c r="N86" s="103" t="s">
        <v>3626</v>
      </c>
      <c r="O86" s="103" t="s">
        <v>3711</v>
      </c>
      <c r="P86" s="103" t="s">
        <v>3798</v>
      </c>
      <c r="Q86" s="103" t="s">
        <v>2766</v>
      </c>
      <c r="R86" s="103" t="s">
        <v>3061</v>
      </c>
      <c r="S86" s="103" t="s">
        <v>3339</v>
      </c>
      <c r="T86" s="116" t="s">
        <v>3400</v>
      </c>
      <c r="U86" s="102" t="s">
        <v>2163</v>
      </c>
      <c r="V86" s="103" t="s">
        <v>3382</v>
      </c>
      <c r="W86" s="103" t="s">
        <v>1854</v>
      </c>
      <c r="X86" s="102" t="s">
        <v>1546</v>
      </c>
      <c r="Y86" s="102" t="s">
        <v>1603</v>
      </c>
      <c r="Z86" s="102" t="s">
        <v>1633</v>
      </c>
      <c r="AA86" s="102" t="s">
        <v>2559</v>
      </c>
      <c r="AB86" s="103" t="s">
        <v>1170</v>
      </c>
      <c r="AC86" s="103" t="s">
        <v>2720</v>
      </c>
      <c r="AD86" s="102" t="s">
        <v>1950</v>
      </c>
      <c r="AE86" s="103" t="s">
        <v>680</v>
      </c>
      <c r="AF86" s="103" t="s">
        <v>710</v>
      </c>
      <c r="AG86" s="103" t="s">
        <v>3528</v>
      </c>
      <c r="AH86" s="103" t="s">
        <v>706</v>
      </c>
      <c r="AI86" s="103" t="s">
        <v>2006</v>
      </c>
      <c r="AJ86" s="103" t="s">
        <v>1262</v>
      </c>
      <c r="AK86" s="103" t="s">
        <v>782</v>
      </c>
      <c r="AL86" s="103" t="s">
        <v>2036</v>
      </c>
      <c r="AM86" s="102" t="s">
        <v>2076</v>
      </c>
      <c r="AN86" s="103" t="s">
        <v>3217</v>
      </c>
      <c r="AO86" s="102" t="s">
        <v>4300</v>
      </c>
      <c r="AP86" s="106" t="s">
        <v>1894</v>
      </c>
      <c r="AQ86" s="102" t="s">
        <v>1894</v>
      </c>
      <c r="AR86" s="103" t="s">
        <v>608</v>
      </c>
      <c r="AS86" s="103" t="s">
        <v>725</v>
      </c>
      <c r="AT86" s="103" t="s">
        <v>1452</v>
      </c>
      <c r="AU86" s="103" t="s">
        <v>926</v>
      </c>
      <c r="AV86" s="102" t="s">
        <v>998</v>
      </c>
    </row>
    <row r="87" spans="1:48" ht="15">
      <c r="A87" s="102">
        <v>86</v>
      </c>
      <c r="B87" s="102" t="s">
        <v>2165</v>
      </c>
      <c r="C87" s="102" t="s">
        <v>2171</v>
      </c>
      <c r="D87" s="102" t="s">
        <v>2629</v>
      </c>
      <c r="E87" s="103" t="s">
        <v>2466</v>
      </c>
      <c r="F87" s="102" t="s">
        <v>2172</v>
      </c>
      <c r="G87" s="102" t="s">
        <v>2165</v>
      </c>
      <c r="H87" s="105" t="s">
        <v>1352</v>
      </c>
      <c r="I87" s="103" t="s">
        <v>1766</v>
      </c>
      <c r="J87" s="102" t="s">
        <v>2173</v>
      </c>
      <c r="K87" s="103" t="s">
        <v>165</v>
      </c>
      <c r="L87" s="102" t="s">
        <v>599</v>
      </c>
      <c r="M87" s="102" t="s">
        <v>2165</v>
      </c>
      <c r="N87" s="103" t="s">
        <v>3661</v>
      </c>
      <c r="O87" s="103" t="s">
        <v>3712</v>
      </c>
      <c r="P87" s="103" t="s">
        <v>3799</v>
      </c>
      <c r="Q87" s="103" t="s">
        <v>716</v>
      </c>
      <c r="R87" s="103" t="s">
        <v>3082</v>
      </c>
      <c r="S87" s="103" t="s">
        <v>3340</v>
      </c>
      <c r="T87" s="116" t="s">
        <v>3401</v>
      </c>
      <c r="U87" s="102" t="s">
        <v>2164</v>
      </c>
      <c r="V87" s="103" t="s">
        <v>1791</v>
      </c>
      <c r="W87" s="103" t="s">
        <v>1855</v>
      </c>
      <c r="X87" s="102" t="s">
        <v>2174</v>
      </c>
      <c r="Y87" s="102" t="s">
        <v>2175</v>
      </c>
      <c r="Z87" s="102" t="s">
        <v>2176</v>
      </c>
      <c r="AA87" s="102" t="s">
        <v>2560</v>
      </c>
      <c r="AB87" s="103" t="s">
        <v>2164</v>
      </c>
      <c r="AC87" s="103" t="s">
        <v>2721</v>
      </c>
      <c r="AD87" s="102" t="s">
        <v>2165</v>
      </c>
      <c r="AE87" s="103" t="s">
        <v>681</v>
      </c>
      <c r="AF87" s="103" t="s">
        <v>711</v>
      </c>
      <c r="AG87" s="103" t="s">
        <v>3529</v>
      </c>
      <c r="AH87" s="103" t="s">
        <v>707</v>
      </c>
      <c r="AI87" s="103" t="s">
        <v>1298</v>
      </c>
      <c r="AJ87" s="103" t="s">
        <v>701</v>
      </c>
      <c r="AK87" s="103" t="s">
        <v>783</v>
      </c>
      <c r="AL87" s="103" t="s">
        <v>816</v>
      </c>
      <c r="AM87" s="102" t="s">
        <v>2177</v>
      </c>
      <c r="AN87" s="103" t="s">
        <v>722</v>
      </c>
      <c r="AO87" s="102" t="s">
        <v>4301</v>
      </c>
      <c r="AP87" s="106" t="s">
        <v>1057</v>
      </c>
      <c r="AQ87" s="102" t="s">
        <v>1057</v>
      </c>
      <c r="AR87" s="103" t="s">
        <v>607</v>
      </c>
      <c r="AS87" s="103" t="s">
        <v>726</v>
      </c>
      <c r="AT87" s="103" t="s">
        <v>1453</v>
      </c>
      <c r="AU87" s="103" t="s">
        <v>927</v>
      </c>
      <c r="AV87" s="102" t="s">
        <v>999</v>
      </c>
    </row>
    <row r="88" spans="1:48" ht="15">
      <c r="A88" s="102">
        <v>87</v>
      </c>
      <c r="B88" s="102" t="s">
        <v>1951</v>
      </c>
      <c r="C88" s="102" t="s">
        <v>2215</v>
      </c>
      <c r="D88" s="102" t="s">
        <v>2630</v>
      </c>
      <c r="E88" s="103" t="s">
        <v>2467</v>
      </c>
      <c r="F88" s="102" t="s">
        <v>2272</v>
      </c>
      <c r="G88" s="102" t="s">
        <v>2315</v>
      </c>
      <c r="H88" s="105" t="s">
        <v>1353</v>
      </c>
      <c r="I88" s="103" t="s">
        <v>1767</v>
      </c>
      <c r="J88" s="102" t="s">
        <v>2360</v>
      </c>
      <c r="K88" s="103" t="s">
        <v>166</v>
      </c>
      <c r="L88" s="102" t="s">
        <v>600</v>
      </c>
      <c r="M88" s="102" t="s">
        <v>1951</v>
      </c>
      <c r="N88" s="103" t="s">
        <v>3662</v>
      </c>
      <c r="O88" s="103" t="s">
        <v>3713</v>
      </c>
      <c r="P88" s="103" t="s">
        <v>3800</v>
      </c>
      <c r="Q88" s="103" t="s">
        <v>717</v>
      </c>
      <c r="R88" s="103" t="s">
        <v>3083</v>
      </c>
      <c r="S88" s="103" t="s">
        <v>3341</v>
      </c>
      <c r="T88" s="116" t="s">
        <v>3402</v>
      </c>
      <c r="U88" s="102" t="s">
        <v>2166</v>
      </c>
      <c r="V88" s="103" t="s">
        <v>1792</v>
      </c>
      <c r="W88" s="103" t="s">
        <v>1856</v>
      </c>
      <c r="X88" s="102" t="s">
        <v>1547</v>
      </c>
      <c r="Y88" s="102" t="s">
        <v>1604</v>
      </c>
      <c r="Z88" s="102" t="s">
        <v>1634</v>
      </c>
      <c r="AA88" s="102" t="s">
        <v>2561</v>
      </c>
      <c r="AB88" s="103" t="s">
        <v>2166</v>
      </c>
      <c r="AC88" s="103" t="s">
        <v>2722</v>
      </c>
      <c r="AD88" s="102" t="s">
        <v>1686</v>
      </c>
      <c r="AE88" s="103" t="s">
        <v>682</v>
      </c>
      <c r="AF88" s="103" t="s">
        <v>712</v>
      </c>
      <c r="AG88" s="103" t="s">
        <v>3530</v>
      </c>
      <c r="AH88" s="103" t="s">
        <v>708</v>
      </c>
      <c r="AI88" s="103" t="s">
        <v>1299</v>
      </c>
      <c r="AJ88" s="103" t="s">
        <v>702</v>
      </c>
      <c r="AK88" s="103" t="s">
        <v>784</v>
      </c>
      <c r="AL88" s="103" t="s">
        <v>817</v>
      </c>
      <c r="AM88" s="102" t="s">
        <v>2077</v>
      </c>
      <c r="AN88" s="103" t="s">
        <v>723</v>
      </c>
      <c r="AO88" s="102" t="s">
        <v>4302</v>
      </c>
      <c r="AP88" s="106" t="s">
        <v>1058</v>
      </c>
      <c r="AQ88" s="102" t="s">
        <v>1058</v>
      </c>
      <c r="AR88" s="103" t="s">
        <v>609</v>
      </c>
      <c r="AS88" s="103" t="s">
        <v>727</v>
      </c>
      <c r="AT88" s="103" t="s">
        <v>1454</v>
      </c>
      <c r="AU88" s="103" t="s">
        <v>928</v>
      </c>
      <c r="AV88" s="102" t="s">
        <v>1000</v>
      </c>
    </row>
    <row r="89" spans="1:48" ht="15">
      <c r="A89" s="102">
        <v>88</v>
      </c>
      <c r="B89" s="102" t="s">
        <v>1952</v>
      </c>
      <c r="C89" s="102" t="s">
        <v>2216</v>
      </c>
      <c r="D89" s="102" t="s">
        <v>2631</v>
      </c>
      <c r="E89" s="103" t="s">
        <v>2468</v>
      </c>
      <c r="F89" s="102" t="s">
        <v>2273</v>
      </c>
      <c r="G89" s="102" t="s">
        <v>2316</v>
      </c>
      <c r="H89" s="105" t="s">
        <v>1354</v>
      </c>
      <c r="I89" s="103" t="s">
        <v>1768</v>
      </c>
      <c r="J89" s="102" t="s">
        <v>2361</v>
      </c>
      <c r="K89" s="103" t="s">
        <v>167</v>
      </c>
      <c r="L89" s="102" t="s">
        <v>601</v>
      </c>
      <c r="M89" s="102" t="s">
        <v>1952</v>
      </c>
      <c r="N89" s="103" t="s">
        <v>3663</v>
      </c>
      <c r="O89" s="103" t="s">
        <v>3714</v>
      </c>
      <c r="P89" s="103" t="s">
        <v>3801</v>
      </c>
      <c r="Q89" s="103" t="s">
        <v>718</v>
      </c>
      <c r="R89" s="103" t="s">
        <v>3084</v>
      </c>
      <c r="S89" s="103" t="s">
        <v>3342</v>
      </c>
      <c r="T89" s="116" t="s">
        <v>3403</v>
      </c>
      <c r="U89" s="102" t="s">
        <v>1648</v>
      </c>
      <c r="V89" s="103" t="s">
        <v>1793</v>
      </c>
      <c r="W89" s="103" t="s">
        <v>1857</v>
      </c>
      <c r="X89" s="102" t="s">
        <v>1548</v>
      </c>
      <c r="Y89" s="102" t="s">
        <v>1605</v>
      </c>
      <c r="Z89" s="102" t="s">
        <v>1635</v>
      </c>
      <c r="AA89" s="102" t="s">
        <v>2562</v>
      </c>
      <c r="AB89" s="103" t="s">
        <v>1648</v>
      </c>
      <c r="AC89" s="103" t="s">
        <v>2723</v>
      </c>
      <c r="AD89" s="102" t="s">
        <v>1687</v>
      </c>
      <c r="AE89" s="103" t="s">
        <v>683</v>
      </c>
      <c r="AF89" s="103" t="s">
        <v>713</v>
      </c>
      <c r="AG89" s="103" t="s">
        <v>3531</v>
      </c>
      <c r="AH89" s="103" t="s">
        <v>709</v>
      </c>
      <c r="AI89" s="103" t="s">
        <v>1300</v>
      </c>
      <c r="AJ89" s="103" t="s">
        <v>703</v>
      </c>
      <c r="AK89" s="103" t="s">
        <v>785</v>
      </c>
      <c r="AL89" s="103" t="s">
        <v>818</v>
      </c>
      <c r="AM89" s="102" t="s">
        <v>2078</v>
      </c>
      <c r="AN89" s="103" t="s">
        <v>724</v>
      </c>
      <c r="AO89" s="102" t="s">
        <v>1952</v>
      </c>
      <c r="AP89" s="106" t="s">
        <v>1059</v>
      </c>
      <c r="AQ89" s="102" t="s">
        <v>1059</v>
      </c>
      <c r="AR89" s="103" t="s">
        <v>610</v>
      </c>
      <c r="AS89" s="103" t="s">
        <v>728</v>
      </c>
      <c r="AT89" s="103" t="s">
        <v>1455</v>
      </c>
      <c r="AU89" s="103" t="s">
        <v>929</v>
      </c>
      <c r="AV89" s="102" t="s">
        <v>1001</v>
      </c>
    </row>
    <row r="90" spans="1:48" ht="15">
      <c r="A90" s="102">
        <v>89</v>
      </c>
      <c r="B90" s="102" t="s">
        <v>1953</v>
      </c>
      <c r="C90" s="102" t="s">
        <v>2217</v>
      </c>
      <c r="D90" s="102" t="s">
        <v>2632</v>
      </c>
      <c r="E90" s="103" t="s">
        <v>2469</v>
      </c>
      <c r="F90" s="102" t="s">
        <v>2274</v>
      </c>
      <c r="G90" s="102" t="s">
        <v>2317</v>
      </c>
      <c r="H90" s="105" t="s">
        <v>1355</v>
      </c>
      <c r="I90" s="103" t="s">
        <v>1769</v>
      </c>
      <c r="J90" s="102" t="s">
        <v>2362</v>
      </c>
      <c r="K90" s="103" t="s">
        <v>2379</v>
      </c>
      <c r="L90" s="102" t="s">
        <v>602</v>
      </c>
      <c r="M90" s="102" t="s">
        <v>1953</v>
      </c>
      <c r="N90" s="103" t="s">
        <v>3664</v>
      </c>
      <c r="O90" s="103" t="s">
        <v>3715</v>
      </c>
      <c r="P90" s="103" t="s">
        <v>3802</v>
      </c>
      <c r="Q90" s="103" t="s">
        <v>719</v>
      </c>
      <c r="R90" s="103" t="s">
        <v>3085</v>
      </c>
      <c r="S90" s="103" t="s">
        <v>3343</v>
      </c>
      <c r="T90" s="116" t="s">
        <v>3404</v>
      </c>
      <c r="U90" s="102" t="s">
        <v>2168</v>
      </c>
      <c r="V90" s="103" t="s">
        <v>1794</v>
      </c>
      <c r="W90" s="103" t="s">
        <v>1858</v>
      </c>
      <c r="X90" s="102" t="s">
        <v>1549</v>
      </c>
      <c r="Y90" s="102" t="s">
        <v>1606</v>
      </c>
      <c r="Z90" s="102" t="s">
        <v>1636</v>
      </c>
      <c r="AA90" s="102" t="s">
        <v>2563</v>
      </c>
      <c r="AB90" s="103" t="s">
        <v>604</v>
      </c>
      <c r="AC90" s="103" t="s">
        <v>2724</v>
      </c>
      <c r="AD90" s="102" t="s">
        <v>1688</v>
      </c>
      <c r="AE90" s="103" t="s">
        <v>684</v>
      </c>
      <c r="AF90" s="103" t="s">
        <v>714</v>
      </c>
      <c r="AG90" s="103" t="s">
        <v>3532</v>
      </c>
      <c r="AH90" s="103" t="s">
        <v>3148</v>
      </c>
      <c r="AI90" s="103" t="s">
        <v>1301</v>
      </c>
      <c r="AJ90" s="103" t="s">
        <v>704</v>
      </c>
      <c r="AK90" s="103" t="s">
        <v>786</v>
      </c>
      <c r="AL90" s="103" t="s">
        <v>819</v>
      </c>
      <c r="AM90" s="102" t="s">
        <v>2079</v>
      </c>
      <c r="AN90" s="103" t="s">
        <v>3253</v>
      </c>
      <c r="AO90" s="102" t="s">
        <v>4303</v>
      </c>
      <c r="AP90" s="106" t="s">
        <v>1060</v>
      </c>
      <c r="AQ90" s="102" t="s">
        <v>1060</v>
      </c>
      <c r="AR90" s="103" t="s">
        <v>611</v>
      </c>
      <c r="AS90" s="103" t="s">
        <v>729</v>
      </c>
      <c r="AT90" s="103" t="s">
        <v>861</v>
      </c>
      <c r="AU90" s="103" t="s">
        <v>930</v>
      </c>
      <c r="AV90" s="102" t="s">
        <v>1002</v>
      </c>
    </row>
    <row r="91" spans="1:48" ht="15">
      <c r="A91" s="102">
        <v>90</v>
      </c>
      <c r="B91" s="102" t="s">
        <v>1069</v>
      </c>
      <c r="C91" s="102" t="s">
        <v>2218</v>
      </c>
      <c r="D91" s="102" t="s">
        <v>2633</v>
      </c>
      <c r="E91" s="103" t="s">
        <v>2470</v>
      </c>
      <c r="F91" s="102" t="s">
        <v>2275</v>
      </c>
      <c r="G91" s="102" t="s">
        <v>2318</v>
      </c>
      <c r="H91" s="105" t="s">
        <v>1356</v>
      </c>
      <c r="I91" s="103" t="s">
        <v>1356</v>
      </c>
      <c r="J91" s="102" t="s">
        <v>2363</v>
      </c>
      <c r="K91" s="103" t="s">
        <v>2380</v>
      </c>
      <c r="L91" s="102" t="s">
        <v>603</v>
      </c>
      <c r="M91" s="102" t="s">
        <v>1069</v>
      </c>
      <c r="N91" s="103" t="s">
        <v>3665</v>
      </c>
      <c r="O91" s="103" t="s">
        <v>3716</v>
      </c>
      <c r="P91" s="103" t="s">
        <v>3803</v>
      </c>
      <c r="Q91" s="103" t="s">
        <v>720</v>
      </c>
      <c r="R91" s="103" t="s">
        <v>3086</v>
      </c>
      <c r="S91" s="103" t="s">
        <v>3344</v>
      </c>
      <c r="T91" s="116" t="s">
        <v>3405</v>
      </c>
      <c r="U91" s="102" t="s">
        <v>2167</v>
      </c>
      <c r="V91" s="103" t="s">
        <v>1795</v>
      </c>
      <c r="W91" s="103" t="s">
        <v>1859</v>
      </c>
      <c r="X91" s="102" t="s">
        <v>1550</v>
      </c>
      <c r="Y91" s="102" t="s">
        <v>1606</v>
      </c>
      <c r="Z91" s="102" t="s">
        <v>1637</v>
      </c>
      <c r="AA91" s="102" t="s">
        <v>2564</v>
      </c>
      <c r="AB91" s="103" t="s">
        <v>605</v>
      </c>
      <c r="AC91" s="103" t="s">
        <v>2725</v>
      </c>
      <c r="AD91" s="102" t="s">
        <v>1689</v>
      </c>
      <c r="AE91" s="103" t="s">
        <v>685</v>
      </c>
      <c r="AF91" s="103" t="s">
        <v>715</v>
      </c>
      <c r="AG91" s="103" t="s">
        <v>3533</v>
      </c>
      <c r="AH91" s="103" t="s">
        <v>3149</v>
      </c>
      <c r="AI91" s="103" t="s">
        <v>1302</v>
      </c>
      <c r="AJ91" s="103" t="s">
        <v>705</v>
      </c>
      <c r="AK91" s="103" t="s">
        <v>787</v>
      </c>
      <c r="AL91" s="103" t="s">
        <v>820</v>
      </c>
      <c r="AM91" s="102" t="s">
        <v>2080</v>
      </c>
      <c r="AN91" s="103" t="s">
        <v>3254</v>
      </c>
      <c r="AO91" s="102" t="s">
        <v>4304</v>
      </c>
      <c r="AP91" s="106" t="s">
        <v>1061</v>
      </c>
      <c r="AQ91" s="102" t="s">
        <v>1061</v>
      </c>
      <c r="AR91" s="103" t="s">
        <v>612</v>
      </c>
      <c r="AS91" s="103" t="s">
        <v>730</v>
      </c>
      <c r="AT91" s="103" t="s">
        <v>1456</v>
      </c>
      <c r="AU91" s="103" t="s">
        <v>931</v>
      </c>
      <c r="AV91" s="102" t="s">
        <v>1003</v>
      </c>
    </row>
    <row r="92" spans="1:48" ht="15">
      <c r="A92" s="102">
        <v>91</v>
      </c>
      <c r="B92" s="102" t="s">
        <v>1070</v>
      </c>
      <c r="C92" s="102" t="s">
        <v>2219</v>
      </c>
      <c r="D92" s="102" t="s">
        <v>2634</v>
      </c>
      <c r="E92" s="103" t="s">
        <v>2471</v>
      </c>
      <c r="F92" s="102" t="s">
        <v>2276</v>
      </c>
      <c r="G92" s="102" t="s">
        <v>2219</v>
      </c>
      <c r="H92" s="105" t="s">
        <v>1357</v>
      </c>
      <c r="I92" s="103" t="s">
        <v>1770</v>
      </c>
      <c r="J92" s="102" t="s">
        <v>1070</v>
      </c>
      <c r="K92" s="103" t="s">
        <v>1070</v>
      </c>
      <c r="L92" s="102" t="s">
        <v>2219</v>
      </c>
      <c r="M92" s="102" t="s">
        <v>1070</v>
      </c>
      <c r="N92" s="103" t="s">
        <v>637</v>
      </c>
      <c r="O92" s="103" t="s">
        <v>1070</v>
      </c>
      <c r="P92" s="103" t="s">
        <v>3804</v>
      </c>
      <c r="Q92" s="103" t="s">
        <v>721</v>
      </c>
      <c r="R92" s="103" t="s">
        <v>3087</v>
      </c>
      <c r="S92" s="103" t="s">
        <v>3345</v>
      </c>
      <c r="T92" s="116" t="s">
        <v>3406</v>
      </c>
      <c r="U92" s="102" t="s">
        <v>2169</v>
      </c>
      <c r="V92" s="103" t="s">
        <v>1796</v>
      </c>
      <c r="W92" s="103" t="s">
        <v>1860</v>
      </c>
      <c r="X92" s="102" t="s">
        <v>1551</v>
      </c>
      <c r="Y92" s="102" t="s">
        <v>1150</v>
      </c>
      <c r="Z92" s="102" t="s">
        <v>1638</v>
      </c>
      <c r="AA92" s="102" t="s">
        <v>2565</v>
      </c>
      <c r="AB92" s="103" t="s">
        <v>606</v>
      </c>
      <c r="AC92" s="103" t="s">
        <v>2726</v>
      </c>
      <c r="AD92" s="102" t="s">
        <v>2219</v>
      </c>
      <c r="AE92" s="103" t="s">
        <v>638</v>
      </c>
      <c r="AF92" s="103" t="s">
        <v>3312</v>
      </c>
      <c r="AG92" s="103" t="s">
        <v>3534</v>
      </c>
      <c r="AH92" s="103" t="s">
        <v>3150</v>
      </c>
      <c r="AI92" s="103" t="s">
        <v>1303</v>
      </c>
      <c r="AJ92" s="103" t="s">
        <v>1303</v>
      </c>
      <c r="AK92" s="103" t="s">
        <v>788</v>
      </c>
      <c r="AL92" s="103" t="s">
        <v>821</v>
      </c>
      <c r="AM92" s="102" t="s">
        <v>2081</v>
      </c>
      <c r="AN92" s="103" t="s">
        <v>3255</v>
      </c>
      <c r="AO92" s="102" t="s">
        <v>1070</v>
      </c>
      <c r="AP92" s="106" t="s">
        <v>1895</v>
      </c>
      <c r="AQ92" s="102" t="s">
        <v>1895</v>
      </c>
      <c r="AR92" s="103" t="s">
        <v>613</v>
      </c>
      <c r="AS92" s="103" t="s">
        <v>731</v>
      </c>
      <c r="AT92" s="103" t="s">
        <v>2991</v>
      </c>
      <c r="AU92" s="103" t="s">
        <v>932</v>
      </c>
      <c r="AV92" s="102" t="s">
        <v>2124</v>
      </c>
    </row>
    <row r="93" spans="1:48" ht="15">
      <c r="A93" s="102">
        <v>92</v>
      </c>
      <c r="B93" s="102" t="s">
        <v>1071</v>
      </c>
      <c r="C93" s="102" t="s">
        <v>2220</v>
      </c>
      <c r="D93" s="102" t="s">
        <v>2223</v>
      </c>
      <c r="E93" s="103" t="s">
        <v>2450</v>
      </c>
      <c r="F93" s="102" t="s">
        <v>515</v>
      </c>
      <c r="G93" s="102" t="s">
        <v>2319</v>
      </c>
      <c r="H93" s="105" t="s">
        <v>482</v>
      </c>
      <c r="I93" s="102" t="s">
        <v>2329</v>
      </c>
      <c r="J93" s="102" t="s">
        <v>2364</v>
      </c>
      <c r="K93" s="103" t="s">
        <v>139</v>
      </c>
      <c r="L93" s="102" t="s">
        <v>1226</v>
      </c>
      <c r="M93" s="102" t="s">
        <v>1071</v>
      </c>
      <c r="N93" s="103" t="s">
        <v>3666</v>
      </c>
      <c r="O93" s="103" t="s">
        <v>3717</v>
      </c>
      <c r="P93" s="103" t="s">
        <v>3764</v>
      </c>
      <c r="Q93" s="103" t="s">
        <v>3194</v>
      </c>
      <c r="R93" s="103" t="s">
        <v>3088</v>
      </c>
      <c r="S93" s="103" t="s">
        <v>3346</v>
      </c>
      <c r="T93" s="116" t="s">
        <v>3407</v>
      </c>
      <c r="U93" s="102" t="s">
        <v>2170</v>
      </c>
      <c r="V93" s="103" t="s">
        <v>1797</v>
      </c>
      <c r="W93" s="103" t="s">
        <v>1507</v>
      </c>
      <c r="X93" s="102" t="s">
        <v>1552</v>
      </c>
      <c r="Y93" s="102" t="s">
        <v>1607</v>
      </c>
      <c r="Z93" s="102" t="s">
        <v>1639</v>
      </c>
      <c r="AA93" s="102" t="s">
        <v>2526</v>
      </c>
      <c r="AB93" s="103" t="s">
        <v>1213</v>
      </c>
      <c r="AC93" s="103" t="s">
        <v>2727</v>
      </c>
      <c r="AD93" s="102" t="s">
        <v>1690</v>
      </c>
      <c r="AE93" s="103" t="s">
        <v>686</v>
      </c>
      <c r="AF93" s="103" t="s">
        <v>3313</v>
      </c>
      <c r="AG93" s="103" t="s">
        <v>3535</v>
      </c>
      <c r="AH93" s="103" t="s">
        <v>3151</v>
      </c>
      <c r="AI93" s="103" t="s">
        <v>1304</v>
      </c>
      <c r="AJ93" s="103" t="s">
        <v>1304</v>
      </c>
      <c r="AK93" s="103" t="s">
        <v>789</v>
      </c>
      <c r="AL93" s="103" t="s">
        <v>2037</v>
      </c>
      <c r="AM93" s="102" t="s">
        <v>2082</v>
      </c>
      <c r="AN93" s="103" t="s">
        <v>3256</v>
      </c>
      <c r="AO93" s="102" t="s">
        <v>4305</v>
      </c>
      <c r="AP93" s="106" t="s">
        <v>1896</v>
      </c>
      <c r="AQ93" s="102" t="s">
        <v>854</v>
      </c>
      <c r="AR93" s="103" t="s">
        <v>1691</v>
      </c>
      <c r="AS93" s="103" t="s">
        <v>3595</v>
      </c>
      <c r="AT93" s="103" t="s">
        <v>1457</v>
      </c>
      <c r="AU93" s="103" t="s">
        <v>892</v>
      </c>
      <c r="AV93" s="102" t="s">
        <v>1004</v>
      </c>
    </row>
    <row r="94" spans="1:48" ht="15">
      <c r="A94" s="102">
        <v>93</v>
      </c>
      <c r="B94" s="102" t="s">
        <v>2189</v>
      </c>
      <c r="C94" s="102" t="s">
        <v>2224</v>
      </c>
      <c r="D94" s="102" t="s">
        <v>2232</v>
      </c>
      <c r="E94" s="103" t="s">
        <v>2451</v>
      </c>
      <c r="F94" s="102" t="s">
        <v>2277</v>
      </c>
      <c r="G94" s="102" t="s">
        <v>2320</v>
      </c>
      <c r="H94" s="103" t="s">
        <v>4209</v>
      </c>
      <c r="I94" s="102" t="s">
        <v>567</v>
      </c>
      <c r="J94" s="102" t="s">
        <v>591</v>
      </c>
      <c r="K94" s="103" t="s">
        <v>2381</v>
      </c>
      <c r="L94" s="102" t="s">
        <v>2224</v>
      </c>
      <c r="M94" s="102" t="s">
        <v>2189</v>
      </c>
      <c r="N94" s="103" t="s">
        <v>3667</v>
      </c>
      <c r="O94" s="103" t="s">
        <v>1471</v>
      </c>
      <c r="P94" s="103" t="s">
        <v>3805</v>
      </c>
      <c r="Q94" s="103" t="s">
        <v>2381</v>
      </c>
      <c r="R94" s="103" t="s">
        <v>3089</v>
      </c>
      <c r="S94" s="103" t="s">
        <v>3347</v>
      </c>
      <c r="T94" s="116" t="s">
        <v>3408</v>
      </c>
      <c r="U94" s="102" t="s">
        <v>2320</v>
      </c>
      <c r="V94" s="103" t="s">
        <v>1798</v>
      </c>
      <c r="W94" s="103" t="s">
        <v>1508</v>
      </c>
      <c r="X94" s="102" t="s">
        <v>1102</v>
      </c>
      <c r="Y94" s="102" t="s">
        <v>1147</v>
      </c>
      <c r="Z94" s="102" t="s">
        <v>2836</v>
      </c>
      <c r="AA94" s="102" t="s">
        <v>2277</v>
      </c>
      <c r="AB94" s="103" t="s">
        <v>1649</v>
      </c>
      <c r="AC94" s="103" t="s">
        <v>2728</v>
      </c>
      <c r="AD94" s="102" t="s">
        <v>1691</v>
      </c>
      <c r="AE94" s="103" t="s">
        <v>687</v>
      </c>
      <c r="AF94" s="103" t="s">
        <v>2381</v>
      </c>
      <c r="AG94" s="103" t="s">
        <v>3536</v>
      </c>
      <c r="AH94" s="103" t="s">
        <v>2016</v>
      </c>
      <c r="AI94" s="103" t="s">
        <v>2007</v>
      </c>
      <c r="AJ94" s="103" t="s">
        <v>2007</v>
      </c>
      <c r="AK94" s="103" t="s">
        <v>2016</v>
      </c>
      <c r="AL94" s="102" t="s">
        <v>2038</v>
      </c>
      <c r="AM94" s="102" t="s">
        <v>504</v>
      </c>
      <c r="AN94" s="103" t="s">
        <v>3257</v>
      </c>
      <c r="AO94" s="102" t="s">
        <v>4280</v>
      </c>
      <c r="AP94" s="106" t="s">
        <v>2007</v>
      </c>
      <c r="AQ94" s="102" t="s">
        <v>2007</v>
      </c>
      <c r="AR94" s="103" t="s">
        <v>1691</v>
      </c>
      <c r="AS94" s="103" t="s">
        <v>3596</v>
      </c>
      <c r="AT94" s="103" t="s">
        <v>2320</v>
      </c>
      <c r="AU94" s="103" t="s">
        <v>2277</v>
      </c>
      <c r="AV94" s="102" t="s">
        <v>2125</v>
      </c>
    </row>
    <row r="95" spans="1:48" ht="15">
      <c r="A95" s="102">
        <v>94</v>
      </c>
      <c r="B95" s="102" t="s">
        <v>2194</v>
      </c>
      <c r="C95" s="102" t="s">
        <v>2225</v>
      </c>
      <c r="D95" s="102" t="s">
        <v>2233</v>
      </c>
      <c r="E95" s="103" t="s">
        <v>2452</v>
      </c>
      <c r="F95" s="102" t="s">
        <v>2278</v>
      </c>
      <c r="G95" s="102" t="s">
        <v>2321</v>
      </c>
      <c r="H95" s="103" t="s">
        <v>4210</v>
      </c>
      <c r="I95" s="102" t="s">
        <v>568</v>
      </c>
      <c r="J95" s="102" t="s">
        <v>2365</v>
      </c>
      <c r="K95" s="103" t="s">
        <v>2382</v>
      </c>
      <c r="L95" s="102" t="s">
        <v>2225</v>
      </c>
      <c r="M95" s="102" t="s">
        <v>2194</v>
      </c>
      <c r="N95" s="103" t="s">
        <v>3668</v>
      </c>
      <c r="O95" s="103" t="s">
        <v>1472</v>
      </c>
      <c r="P95" s="103" t="s">
        <v>3806</v>
      </c>
      <c r="Q95" s="103" t="s">
        <v>2382</v>
      </c>
      <c r="R95" s="103" t="s">
        <v>3090</v>
      </c>
      <c r="S95" s="103" t="s">
        <v>3348</v>
      </c>
      <c r="T95" s="116" t="s">
        <v>3409</v>
      </c>
      <c r="U95" s="102" t="s">
        <v>2321</v>
      </c>
      <c r="V95" s="103" t="s">
        <v>1799</v>
      </c>
      <c r="W95" s="103" t="s">
        <v>1509</v>
      </c>
      <c r="X95" s="102" t="s">
        <v>1553</v>
      </c>
      <c r="Y95" s="102" t="s">
        <v>1608</v>
      </c>
      <c r="Z95" s="102" t="s">
        <v>1640</v>
      </c>
      <c r="AA95" s="102" t="s">
        <v>2566</v>
      </c>
      <c r="AB95" s="103" t="s">
        <v>1650</v>
      </c>
      <c r="AC95" s="103" t="s">
        <v>2729</v>
      </c>
      <c r="AD95" s="102" t="s">
        <v>1692</v>
      </c>
      <c r="AE95" s="103" t="s">
        <v>688</v>
      </c>
      <c r="AF95" s="103" t="s">
        <v>2382</v>
      </c>
      <c r="AG95" s="103" t="s">
        <v>3537</v>
      </c>
      <c r="AH95" s="103" t="s">
        <v>2365</v>
      </c>
      <c r="AI95" s="103" t="s">
        <v>2008</v>
      </c>
      <c r="AJ95" s="103" t="s">
        <v>2008</v>
      </c>
      <c r="AK95" s="103" t="s">
        <v>2365</v>
      </c>
      <c r="AL95" s="102" t="s">
        <v>2039</v>
      </c>
      <c r="AM95" s="102" t="s">
        <v>2083</v>
      </c>
      <c r="AN95" s="103" t="s">
        <v>2099</v>
      </c>
      <c r="AO95" s="102" t="s">
        <v>4306</v>
      </c>
      <c r="AP95" s="106" t="s">
        <v>2008</v>
      </c>
      <c r="AQ95" s="102" t="s">
        <v>2008</v>
      </c>
      <c r="AR95" s="103" t="s">
        <v>1692</v>
      </c>
      <c r="AS95" s="103" t="s">
        <v>3597</v>
      </c>
      <c r="AT95" s="103" t="s">
        <v>2321</v>
      </c>
      <c r="AU95" s="103" t="s">
        <v>2278</v>
      </c>
      <c r="AV95" s="102" t="s">
        <v>2126</v>
      </c>
    </row>
    <row r="96" spans="1:48" ht="15">
      <c r="A96" s="102">
        <v>95</v>
      </c>
      <c r="B96" s="102" t="s">
        <v>2195</v>
      </c>
      <c r="C96" s="102" t="s">
        <v>2226</v>
      </c>
      <c r="D96" s="102" t="s">
        <v>2234</v>
      </c>
      <c r="E96" s="103" t="s">
        <v>2453</v>
      </c>
      <c r="F96" s="102" t="s">
        <v>2279</v>
      </c>
      <c r="G96" s="102" t="s">
        <v>2322</v>
      </c>
      <c r="H96" s="103" t="s">
        <v>4211</v>
      </c>
      <c r="I96" s="102" t="s">
        <v>569</v>
      </c>
      <c r="J96" s="102" t="s">
        <v>2366</v>
      </c>
      <c r="K96" s="103" t="s">
        <v>2383</v>
      </c>
      <c r="L96" s="102" t="s">
        <v>2226</v>
      </c>
      <c r="M96" s="102" t="s">
        <v>2195</v>
      </c>
      <c r="N96" s="103" t="s">
        <v>3669</v>
      </c>
      <c r="O96" s="103" t="s">
        <v>1473</v>
      </c>
      <c r="P96" s="103" t="s">
        <v>3807</v>
      </c>
      <c r="Q96" s="103" t="s">
        <v>2383</v>
      </c>
      <c r="R96" s="103" t="s">
        <v>3091</v>
      </c>
      <c r="S96" s="103" t="s">
        <v>3349</v>
      </c>
      <c r="T96" s="116" t="s">
        <v>1500</v>
      </c>
      <c r="U96" s="102" t="s">
        <v>2322</v>
      </c>
      <c r="V96" s="103" t="s">
        <v>1800</v>
      </c>
      <c r="W96" s="103" t="s">
        <v>1510</v>
      </c>
      <c r="X96" s="102" t="s">
        <v>1554</v>
      </c>
      <c r="Y96" s="102" t="s">
        <v>1609</v>
      </c>
      <c r="Z96" s="102" t="s">
        <v>1641</v>
      </c>
      <c r="AA96" s="102" t="s">
        <v>2279</v>
      </c>
      <c r="AB96" s="103" t="s">
        <v>1651</v>
      </c>
      <c r="AC96" s="103" t="s">
        <v>2730</v>
      </c>
      <c r="AD96" s="102" t="s">
        <v>1693</v>
      </c>
      <c r="AE96" s="103" t="s">
        <v>689</v>
      </c>
      <c r="AF96" s="103" t="s">
        <v>2383</v>
      </c>
      <c r="AG96" s="103" t="s">
        <v>3538</v>
      </c>
      <c r="AH96" s="103" t="s">
        <v>2366</v>
      </c>
      <c r="AI96" s="103" t="s">
        <v>2009</v>
      </c>
      <c r="AJ96" s="103" t="s">
        <v>2009</v>
      </c>
      <c r="AK96" s="103" t="s">
        <v>2366</v>
      </c>
      <c r="AL96" s="102" t="s">
        <v>2040</v>
      </c>
      <c r="AM96" s="102" t="s">
        <v>2084</v>
      </c>
      <c r="AN96" s="103" t="s">
        <v>2100</v>
      </c>
      <c r="AO96" s="102" t="s">
        <v>4307</v>
      </c>
      <c r="AP96" s="106" t="s">
        <v>2009</v>
      </c>
      <c r="AQ96" s="102" t="s">
        <v>2009</v>
      </c>
      <c r="AR96" s="103" t="s">
        <v>1713</v>
      </c>
      <c r="AS96" s="103" t="s">
        <v>3598</v>
      </c>
      <c r="AT96" s="103" t="s">
        <v>2322</v>
      </c>
      <c r="AU96" s="103" t="s">
        <v>2279</v>
      </c>
      <c r="AV96" s="102" t="s">
        <v>2127</v>
      </c>
    </row>
    <row r="97" spans="1:48" ht="15">
      <c r="A97" s="102">
        <v>96</v>
      </c>
      <c r="B97" s="102" t="s">
        <v>2196</v>
      </c>
      <c r="C97" s="102" t="s">
        <v>2227</v>
      </c>
      <c r="D97" s="102" t="s">
        <v>2235</v>
      </c>
      <c r="E97" s="103" t="s">
        <v>2454</v>
      </c>
      <c r="F97" s="102" t="s">
        <v>2280</v>
      </c>
      <c r="G97" s="102" t="s">
        <v>2323</v>
      </c>
      <c r="H97" s="103" t="s">
        <v>4212</v>
      </c>
      <c r="I97" s="102" t="s">
        <v>570</v>
      </c>
      <c r="J97" s="102" t="s">
        <v>2367</v>
      </c>
      <c r="K97" s="103" t="s">
        <v>2384</v>
      </c>
      <c r="L97" s="102" t="s">
        <v>2227</v>
      </c>
      <c r="M97" s="102" t="s">
        <v>2196</v>
      </c>
      <c r="N97" s="103" t="s">
        <v>3670</v>
      </c>
      <c r="O97" s="103" t="s">
        <v>1474</v>
      </c>
      <c r="P97" s="103" t="s">
        <v>3808</v>
      </c>
      <c r="Q97" s="103" t="s">
        <v>2384</v>
      </c>
      <c r="R97" s="103" t="s">
        <v>3092</v>
      </c>
      <c r="S97" s="103" t="s">
        <v>3350</v>
      </c>
      <c r="T97" s="116" t="s">
        <v>1501</v>
      </c>
      <c r="U97" s="102" t="s">
        <v>2323</v>
      </c>
      <c r="V97" s="103" t="s">
        <v>1801</v>
      </c>
      <c r="W97" s="103" t="s">
        <v>1511</v>
      </c>
      <c r="X97" s="102" t="s">
        <v>1555</v>
      </c>
      <c r="Y97" s="102" t="s">
        <v>1610</v>
      </c>
      <c r="Z97" s="102" t="s">
        <v>1642</v>
      </c>
      <c r="AA97" s="102" t="s">
        <v>2280</v>
      </c>
      <c r="AB97" s="103" t="s">
        <v>1652</v>
      </c>
      <c r="AC97" s="103" t="s">
        <v>2731</v>
      </c>
      <c r="AD97" s="102" t="s">
        <v>1694</v>
      </c>
      <c r="AE97" s="103" t="s">
        <v>690</v>
      </c>
      <c r="AF97" s="103" t="s">
        <v>2384</v>
      </c>
      <c r="AG97" s="103" t="s">
        <v>3539</v>
      </c>
      <c r="AH97" s="103" t="s">
        <v>2367</v>
      </c>
      <c r="AI97" s="103" t="s">
        <v>2010</v>
      </c>
      <c r="AJ97" s="103" t="s">
        <v>2010</v>
      </c>
      <c r="AK97" s="103" t="s">
        <v>2367</v>
      </c>
      <c r="AL97" s="102" t="s">
        <v>2041</v>
      </c>
      <c r="AM97" s="102" t="s">
        <v>2085</v>
      </c>
      <c r="AN97" s="103" t="s">
        <v>2101</v>
      </c>
      <c r="AO97" s="102" t="s">
        <v>4308</v>
      </c>
      <c r="AP97" s="106" t="s">
        <v>2010</v>
      </c>
      <c r="AQ97" s="102" t="s">
        <v>2010</v>
      </c>
      <c r="AR97" s="103" t="s">
        <v>1694</v>
      </c>
      <c r="AS97" s="103" t="s">
        <v>3599</v>
      </c>
      <c r="AT97" s="103" t="s">
        <v>2323</v>
      </c>
      <c r="AU97" s="103" t="s">
        <v>2280</v>
      </c>
      <c r="AV97" s="102" t="s">
        <v>2128</v>
      </c>
    </row>
    <row r="98" spans="1:48" ht="15">
      <c r="A98" s="102">
        <v>97</v>
      </c>
      <c r="B98" s="102" t="s">
        <v>387</v>
      </c>
      <c r="C98" s="102" t="s">
        <v>2228</v>
      </c>
      <c r="D98" s="102" t="s">
        <v>2236</v>
      </c>
      <c r="E98" s="103" t="s">
        <v>2455</v>
      </c>
      <c r="F98" s="102" t="s">
        <v>2281</v>
      </c>
      <c r="G98" s="102" t="s">
        <v>2324</v>
      </c>
      <c r="H98" s="103" t="s">
        <v>4213</v>
      </c>
      <c r="I98" s="102" t="s">
        <v>571</v>
      </c>
      <c r="J98" s="102" t="s">
        <v>2368</v>
      </c>
      <c r="K98" s="103" t="s">
        <v>2385</v>
      </c>
      <c r="L98" s="102" t="s">
        <v>2228</v>
      </c>
      <c r="M98" s="102" t="s">
        <v>387</v>
      </c>
      <c r="N98" s="103" t="s">
        <v>1466</v>
      </c>
      <c r="O98" s="103" t="s">
        <v>1475</v>
      </c>
      <c r="P98" s="103" t="s">
        <v>3809</v>
      </c>
      <c r="Q98" s="103" t="s">
        <v>2385</v>
      </c>
      <c r="R98" s="103" t="s">
        <v>3093</v>
      </c>
      <c r="S98" s="103" t="s">
        <v>3351</v>
      </c>
      <c r="T98" s="116" t="s">
        <v>1502</v>
      </c>
      <c r="U98" s="102" t="s">
        <v>2324</v>
      </c>
      <c r="V98" s="103" t="s">
        <v>1802</v>
      </c>
      <c r="W98" s="103" t="s">
        <v>1512</v>
      </c>
      <c r="X98" s="102" t="s">
        <v>1556</v>
      </c>
      <c r="Y98" s="102" t="s">
        <v>1611</v>
      </c>
      <c r="Z98" s="102" t="s">
        <v>1643</v>
      </c>
      <c r="AA98" s="102" t="s">
        <v>2281</v>
      </c>
      <c r="AB98" s="103" t="s">
        <v>1653</v>
      </c>
      <c r="AC98" s="103" t="s">
        <v>2732</v>
      </c>
      <c r="AD98" s="102" t="s">
        <v>1695</v>
      </c>
      <c r="AE98" s="103" t="s">
        <v>691</v>
      </c>
      <c r="AF98" s="103" t="s">
        <v>2385</v>
      </c>
      <c r="AG98" s="103" t="s">
        <v>3540</v>
      </c>
      <c r="AH98" s="103" t="s">
        <v>2368</v>
      </c>
      <c r="AI98" s="103" t="s">
        <v>2011</v>
      </c>
      <c r="AJ98" s="103" t="s">
        <v>2011</v>
      </c>
      <c r="AK98" s="103" t="s">
        <v>2368</v>
      </c>
      <c r="AL98" s="102" t="s">
        <v>2042</v>
      </c>
      <c r="AM98" s="102" t="s">
        <v>2086</v>
      </c>
      <c r="AN98" s="103" t="s">
        <v>2102</v>
      </c>
      <c r="AO98" s="102" t="s">
        <v>4309</v>
      </c>
      <c r="AP98" s="106" t="s">
        <v>2011</v>
      </c>
      <c r="AQ98" s="102" t="s">
        <v>2011</v>
      </c>
      <c r="AR98" s="103" t="s">
        <v>1695</v>
      </c>
      <c r="AS98" s="103" t="s">
        <v>2107</v>
      </c>
      <c r="AT98" s="103" t="s">
        <v>2324</v>
      </c>
      <c r="AU98" s="103" t="s">
        <v>2281</v>
      </c>
      <c r="AV98" s="102" t="s">
        <v>2129</v>
      </c>
    </row>
    <row r="99" spans="1:48" ht="15">
      <c r="A99" s="102">
        <v>98</v>
      </c>
      <c r="B99" s="102" t="s">
        <v>388</v>
      </c>
      <c r="C99" s="102" t="s">
        <v>2229</v>
      </c>
      <c r="D99" s="102" t="s">
        <v>2237</v>
      </c>
      <c r="E99" s="103" t="s">
        <v>2456</v>
      </c>
      <c r="F99" s="102" t="s">
        <v>2282</v>
      </c>
      <c r="G99" s="102" t="s">
        <v>2325</v>
      </c>
      <c r="H99" s="103" t="s">
        <v>4214</v>
      </c>
      <c r="I99" s="102" t="s">
        <v>572</v>
      </c>
      <c r="J99" s="102" t="s">
        <v>2369</v>
      </c>
      <c r="K99" s="103" t="s">
        <v>2386</v>
      </c>
      <c r="L99" s="102" t="s">
        <v>2229</v>
      </c>
      <c r="M99" s="102" t="s">
        <v>388</v>
      </c>
      <c r="N99" s="103" t="s">
        <v>1467</v>
      </c>
      <c r="O99" s="103" t="s">
        <v>1476</v>
      </c>
      <c r="P99" s="103" t="s">
        <v>3810</v>
      </c>
      <c r="Q99" s="103" t="s">
        <v>2386</v>
      </c>
      <c r="R99" s="103" t="s">
        <v>3094</v>
      </c>
      <c r="S99" s="103" t="s">
        <v>3352</v>
      </c>
      <c r="T99" s="116" t="s">
        <v>1503</v>
      </c>
      <c r="U99" s="102" t="s">
        <v>2325</v>
      </c>
      <c r="V99" s="103" t="s">
        <v>1803</v>
      </c>
      <c r="W99" s="103" t="s">
        <v>1513</v>
      </c>
      <c r="X99" s="102" t="s">
        <v>1557</v>
      </c>
      <c r="Y99" s="102" t="s">
        <v>1612</v>
      </c>
      <c r="Z99" s="102" t="s">
        <v>1644</v>
      </c>
      <c r="AA99" s="102" t="s">
        <v>933</v>
      </c>
      <c r="AB99" s="103" t="s">
        <v>1654</v>
      </c>
      <c r="AC99" s="103" t="s">
        <v>2733</v>
      </c>
      <c r="AD99" s="102" t="s">
        <v>1696</v>
      </c>
      <c r="AE99" s="103" t="s">
        <v>692</v>
      </c>
      <c r="AF99" s="103" t="s">
        <v>2386</v>
      </c>
      <c r="AG99" s="103" t="s">
        <v>3541</v>
      </c>
      <c r="AH99" s="103" t="s">
        <v>2369</v>
      </c>
      <c r="AI99" s="103" t="s">
        <v>2012</v>
      </c>
      <c r="AJ99" s="103" t="s">
        <v>2012</v>
      </c>
      <c r="AK99" s="103" t="s">
        <v>2369</v>
      </c>
      <c r="AL99" s="102" t="s">
        <v>2043</v>
      </c>
      <c r="AM99" s="102" t="s">
        <v>2087</v>
      </c>
      <c r="AN99" s="103" t="s">
        <v>2103</v>
      </c>
      <c r="AO99" s="102" t="s">
        <v>4310</v>
      </c>
      <c r="AP99" s="106" t="s">
        <v>2012</v>
      </c>
      <c r="AQ99" s="102" t="s">
        <v>2012</v>
      </c>
      <c r="AR99" s="103" t="s">
        <v>1696</v>
      </c>
      <c r="AS99" s="103" t="s">
        <v>3600</v>
      </c>
      <c r="AT99" s="103" t="s">
        <v>2325</v>
      </c>
      <c r="AU99" s="103" t="s">
        <v>933</v>
      </c>
      <c r="AV99" s="102" t="s">
        <v>2130</v>
      </c>
    </row>
    <row r="100" spans="1:48" ht="15">
      <c r="A100" s="102">
        <v>99</v>
      </c>
      <c r="B100" s="102" t="s">
        <v>389</v>
      </c>
      <c r="C100" s="102" t="s">
        <v>2230</v>
      </c>
      <c r="D100" s="102" t="s">
        <v>2238</v>
      </c>
      <c r="E100" s="103" t="s">
        <v>2457</v>
      </c>
      <c r="F100" s="102" t="s">
        <v>2283</v>
      </c>
      <c r="G100" s="102" t="s">
        <v>2326</v>
      </c>
      <c r="H100" s="103" t="s">
        <v>4215</v>
      </c>
      <c r="I100" s="102" t="s">
        <v>573</v>
      </c>
      <c r="J100" s="102" t="s">
        <v>2370</v>
      </c>
      <c r="K100" s="103" t="s">
        <v>2387</v>
      </c>
      <c r="L100" s="102" t="s">
        <v>2230</v>
      </c>
      <c r="M100" s="102" t="s">
        <v>389</v>
      </c>
      <c r="N100" s="103" t="s">
        <v>1468</v>
      </c>
      <c r="O100" s="103" t="s">
        <v>1477</v>
      </c>
      <c r="P100" s="103" t="s">
        <v>3811</v>
      </c>
      <c r="Q100" s="103" t="s">
        <v>2387</v>
      </c>
      <c r="R100" s="103" t="s">
        <v>3095</v>
      </c>
      <c r="S100" s="103" t="s">
        <v>3353</v>
      </c>
      <c r="T100" s="116" t="s">
        <v>1504</v>
      </c>
      <c r="U100" s="102" t="s">
        <v>2326</v>
      </c>
      <c r="V100" s="103" t="s">
        <v>1804</v>
      </c>
      <c r="W100" s="103" t="s">
        <v>1514</v>
      </c>
      <c r="X100" s="102" t="s">
        <v>1558</v>
      </c>
      <c r="Y100" s="102" t="s">
        <v>1613</v>
      </c>
      <c r="Z100" s="102" t="s">
        <v>1645</v>
      </c>
      <c r="AA100" s="102" t="s">
        <v>934</v>
      </c>
      <c r="AB100" s="103" t="s">
        <v>1655</v>
      </c>
      <c r="AC100" s="103" t="s">
        <v>2734</v>
      </c>
      <c r="AD100" s="102" t="s">
        <v>1697</v>
      </c>
      <c r="AE100" s="103" t="s">
        <v>693</v>
      </c>
      <c r="AF100" s="103" t="s">
        <v>2387</v>
      </c>
      <c r="AG100" s="103" t="s">
        <v>3542</v>
      </c>
      <c r="AH100" s="103" t="s">
        <v>2370</v>
      </c>
      <c r="AI100" s="103" t="s">
        <v>2013</v>
      </c>
      <c r="AJ100" s="103" t="s">
        <v>2013</v>
      </c>
      <c r="AK100" s="103" t="s">
        <v>2370</v>
      </c>
      <c r="AL100" s="102" t="s">
        <v>2044</v>
      </c>
      <c r="AM100" s="102" t="s">
        <v>2088</v>
      </c>
      <c r="AN100" s="103" t="s">
        <v>2104</v>
      </c>
      <c r="AO100" s="102" t="s">
        <v>4311</v>
      </c>
      <c r="AP100" s="106" t="s">
        <v>2013</v>
      </c>
      <c r="AQ100" s="102" t="s">
        <v>2013</v>
      </c>
      <c r="AR100" s="103" t="s">
        <v>1697</v>
      </c>
      <c r="AS100" s="103" t="s">
        <v>3601</v>
      </c>
      <c r="AT100" s="103" t="s">
        <v>2326</v>
      </c>
      <c r="AU100" s="103" t="s">
        <v>934</v>
      </c>
      <c r="AV100" s="102" t="s">
        <v>2131</v>
      </c>
    </row>
    <row r="101" spans="1:48" ht="15">
      <c r="A101" s="102">
        <v>100</v>
      </c>
      <c r="B101" s="102" t="s">
        <v>390</v>
      </c>
      <c r="C101" s="102" t="s">
        <v>2231</v>
      </c>
      <c r="D101" s="102" t="s">
        <v>2239</v>
      </c>
      <c r="E101" s="103" t="s">
        <v>2458</v>
      </c>
      <c r="F101" s="102" t="s">
        <v>2284</v>
      </c>
      <c r="G101" s="102" t="s">
        <v>2327</v>
      </c>
      <c r="H101" s="103" t="s">
        <v>4216</v>
      </c>
      <c r="I101" s="102" t="s">
        <v>574</v>
      </c>
      <c r="J101" s="102" t="s">
        <v>2371</v>
      </c>
      <c r="K101" s="103" t="s">
        <v>2388</v>
      </c>
      <c r="L101" s="102" t="s">
        <v>2231</v>
      </c>
      <c r="M101" s="102" t="s">
        <v>390</v>
      </c>
      <c r="N101" s="103" t="s">
        <v>1469</v>
      </c>
      <c r="O101" s="103" t="s">
        <v>1478</v>
      </c>
      <c r="P101" s="103" t="s">
        <v>3812</v>
      </c>
      <c r="Q101" s="103" t="s">
        <v>2388</v>
      </c>
      <c r="R101" s="103" t="s">
        <v>3096</v>
      </c>
      <c r="S101" s="103" t="s">
        <v>3354</v>
      </c>
      <c r="T101" s="116" t="s">
        <v>1505</v>
      </c>
      <c r="U101" s="102" t="s">
        <v>2327</v>
      </c>
      <c r="V101" s="103" t="s">
        <v>1805</v>
      </c>
      <c r="W101" s="103" t="s">
        <v>1515</v>
      </c>
      <c r="X101" s="102" t="s">
        <v>1559</v>
      </c>
      <c r="Y101" s="102" t="s">
        <v>1614</v>
      </c>
      <c r="Z101" s="102" t="s">
        <v>1646</v>
      </c>
      <c r="AA101" s="102" t="s">
        <v>2284</v>
      </c>
      <c r="AB101" s="103" t="s">
        <v>1656</v>
      </c>
      <c r="AC101" s="103" t="s">
        <v>2735</v>
      </c>
      <c r="AD101" s="102" t="s">
        <v>1698</v>
      </c>
      <c r="AE101" s="103" t="s">
        <v>694</v>
      </c>
      <c r="AF101" s="103" t="s">
        <v>2388</v>
      </c>
      <c r="AG101" s="103" t="s">
        <v>3543</v>
      </c>
      <c r="AH101" s="103" t="s">
        <v>2371</v>
      </c>
      <c r="AI101" s="103" t="s">
        <v>2014</v>
      </c>
      <c r="AJ101" s="103" t="s">
        <v>2014</v>
      </c>
      <c r="AK101" s="103" t="s">
        <v>2371</v>
      </c>
      <c r="AL101" s="102" t="s">
        <v>2045</v>
      </c>
      <c r="AM101" s="102" t="s">
        <v>2089</v>
      </c>
      <c r="AN101" s="103" t="s">
        <v>2105</v>
      </c>
      <c r="AO101" s="102" t="s">
        <v>4312</v>
      </c>
      <c r="AP101" s="106" t="s">
        <v>2014</v>
      </c>
      <c r="AQ101" s="102" t="s">
        <v>2014</v>
      </c>
      <c r="AR101" s="103" t="s">
        <v>1698</v>
      </c>
      <c r="AS101" s="103" t="s">
        <v>3602</v>
      </c>
      <c r="AT101" s="103" t="s">
        <v>2327</v>
      </c>
      <c r="AU101" s="103" t="s">
        <v>2284</v>
      </c>
      <c r="AV101" s="102" t="s">
        <v>2132</v>
      </c>
    </row>
    <row r="102" spans="1:48" ht="15">
      <c r="A102" s="102">
        <v>101</v>
      </c>
      <c r="B102" s="102" t="s">
        <v>1582</v>
      </c>
      <c r="C102" s="102" t="s">
        <v>1954</v>
      </c>
      <c r="D102" s="102" t="s">
        <v>2635</v>
      </c>
      <c r="E102" s="103" t="s">
        <v>2459</v>
      </c>
      <c r="F102" s="102" t="s">
        <v>1958</v>
      </c>
      <c r="G102" s="102" t="s">
        <v>1968</v>
      </c>
      <c r="H102" s="103" t="s">
        <v>4217</v>
      </c>
      <c r="I102" s="103" t="s">
        <v>1771</v>
      </c>
      <c r="J102" s="102" t="s">
        <v>1974</v>
      </c>
      <c r="K102" s="103" t="s">
        <v>168</v>
      </c>
      <c r="L102" s="102" t="s">
        <v>1253</v>
      </c>
      <c r="M102" s="102" t="s">
        <v>1582</v>
      </c>
      <c r="N102" s="103" t="s">
        <v>1980</v>
      </c>
      <c r="O102" s="103" t="s">
        <v>3718</v>
      </c>
      <c r="P102" s="102" t="s">
        <v>3813</v>
      </c>
      <c r="Q102" s="103" t="s">
        <v>3195</v>
      </c>
      <c r="R102" s="103" t="s">
        <v>1011</v>
      </c>
      <c r="S102" s="103" t="s">
        <v>3355</v>
      </c>
      <c r="T102" s="116" t="s">
        <v>3410</v>
      </c>
      <c r="U102" s="102" t="s">
        <v>1964</v>
      </c>
      <c r="V102" s="103" t="s">
        <v>1806</v>
      </c>
      <c r="W102" s="103" t="s">
        <v>1861</v>
      </c>
      <c r="X102" s="102" t="s">
        <v>1015</v>
      </c>
      <c r="Y102" s="102" t="s">
        <v>1021</v>
      </c>
      <c r="Z102" s="102" t="s">
        <v>1582</v>
      </c>
      <c r="AA102" s="102" t="s">
        <v>2567</v>
      </c>
      <c r="AB102" s="103" t="s">
        <v>1214</v>
      </c>
      <c r="AC102" s="103" t="s">
        <v>2736</v>
      </c>
      <c r="AD102" s="102" t="s">
        <v>1027</v>
      </c>
      <c r="AE102" s="103" t="s">
        <v>695</v>
      </c>
      <c r="AF102" s="103" t="s">
        <v>3314</v>
      </c>
      <c r="AG102" s="103" t="s">
        <v>3544</v>
      </c>
      <c r="AH102" s="103" t="s">
        <v>3152</v>
      </c>
      <c r="AI102" s="103" t="s">
        <v>1305</v>
      </c>
      <c r="AJ102" s="103" t="s">
        <v>1032</v>
      </c>
      <c r="AK102" s="103" t="s">
        <v>790</v>
      </c>
      <c r="AL102" s="102" t="s">
        <v>1034</v>
      </c>
      <c r="AM102" s="102" t="s">
        <v>1038</v>
      </c>
      <c r="AN102" s="103" t="s">
        <v>3258</v>
      </c>
      <c r="AO102" s="102" t="s">
        <v>4320</v>
      </c>
      <c r="AP102" s="106" t="s">
        <v>1897</v>
      </c>
      <c r="AQ102" s="102" t="s">
        <v>855</v>
      </c>
      <c r="AR102" s="103" t="s">
        <v>1943</v>
      </c>
      <c r="AS102" s="103" t="s">
        <v>2503</v>
      </c>
      <c r="AT102" s="103" t="s">
        <v>1046</v>
      </c>
      <c r="AU102" s="103" t="s">
        <v>935</v>
      </c>
      <c r="AV102" s="102" t="s">
        <v>1005</v>
      </c>
    </row>
    <row r="103" spans="1:48" ht="15">
      <c r="A103" s="102">
        <v>102</v>
      </c>
      <c r="B103" s="102" t="s">
        <v>1583</v>
      </c>
      <c r="C103" s="102" t="s">
        <v>1955</v>
      </c>
      <c r="D103" s="102" t="s">
        <v>2636</v>
      </c>
      <c r="E103" s="103" t="s">
        <v>2460</v>
      </c>
      <c r="F103" s="102" t="s">
        <v>1959</v>
      </c>
      <c r="G103" s="102" t="s">
        <v>1969</v>
      </c>
      <c r="H103" s="103" t="s">
        <v>4218</v>
      </c>
      <c r="I103" s="103" t="s">
        <v>1772</v>
      </c>
      <c r="J103" s="102" t="s">
        <v>1975</v>
      </c>
      <c r="K103" s="103" t="s">
        <v>169</v>
      </c>
      <c r="L103" s="102" t="s">
        <v>1254</v>
      </c>
      <c r="M103" s="102" t="s">
        <v>1583</v>
      </c>
      <c r="N103" s="103" t="s">
        <v>1981</v>
      </c>
      <c r="O103" s="103" t="s">
        <v>3719</v>
      </c>
      <c r="P103" s="102" t="s">
        <v>3814</v>
      </c>
      <c r="Q103" s="103" t="s">
        <v>3196</v>
      </c>
      <c r="R103" s="103" t="s">
        <v>1012</v>
      </c>
      <c r="S103" s="103" t="s">
        <v>3356</v>
      </c>
      <c r="T103" s="116" t="s">
        <v>3411</v>
      </c>
      <c r="U103" s="102" t="s">
        <v>1965</v>
      </c>
      <c r="V103" s="103" t="s">
        <v>1807</v>
      </c>
      <c r="W103" s="103" t="s">
        <v>1862</v>
      </c>
      <c r="X103" s="102" t="s">
        <v>1016</v>
      </c>
      <c r="Y103" s="102" t="s">
        <v>1022</v>
      </c>
      <c r="Z103" s="102" t="s">
        <v>1583</v>
      </c>
      <c r="AA103" s="102" t="s">
        <v>2568</v>
      </c>
      <c r="AB103" s="103" t="s">
        <v>1215</v>
      </c>
      <c r="AC103" s="103" t="s">
        <v>2737</v>
      </c>
      <c r="AD103" s="102" t="s">
        <v>1975</v>
      </c>
      <c r="AE103" s="103" t="s">
        <v>696</v>
      </c>
      <c r="AF103" s="103" t="s">
        <v>3315</v>
      </c>
      <c r="AG103" s="103" t="s">
        <v>3545</v>
      </c>
      <c r="AH103" s="103" t="s">
        <v>3153</v>
      </c>
      <c r="AI103" s="103" t="s">
        <v>1306</v>
      </c>
      <c r="AJ103" s="103" t="s">
        <v>3451</v>
      </c>
      <c r="AK103" s="103" t="s">
        <v>791</v>
      </c>
      <c r="AL103" s="102" t="s">
        <v>1035</v>
      </c>
      <c r="AM103" s="102" t="s">
        <v>1039</v>
      </c>
      <c r="AN103" s="103" t="s">
        <v>3259</v>
      </c>
      <c r="AO103" s="102" t="s">
        <v>4319</v>
      </c>
      <c r="AP103" s="106" t="s">
        <v>1898</v>
      </c>
      <c r="AQ103" s="102" t="s">
        <v>856</v>
      </c>
      <c r="AR103" s="103" t="s">
        <v>1944</v>
      </c>
      <c r="AS103" s="103" t="s">
        <v>2504</v>
      </c>
      <c r="AT103" s="103" t="s">
        <v>1047</v>
      </c>
      <c r="AU103" s="103" t="s">
        <v>936</v>
      </c>
      <c r="AV103" s="102" t="s">
        <v>1006</v>
      </c>
    </row>
    <row r="104" spans="1:48" ht="15">
      <c r="A104" s="102">
        <v>103</v>
      </c>
      <c r="B104" s="102" t="s">
        <v>1584</v>
      </c>
      <c r="C104" s="102" t="s">
        <v>1956</v>
      </c>
      <c r="D104" s="102" t="s">
        <v>2637</v>
      </c>
      <c r="E104" s="103" t="s">
        <v>2461</v>
      </c>
      <c r="F104" s="102" t="s">
        <v>1960</v>
      </c>
      <c r="G104" s="102" t="s">
        <v>1970</v>
      </c>
      <c r="H104" s="103" t="s">
        <v>4219</v>
      </c>
      <c r="I104" s="103" t="s">
        <v>1773</v>
      </c>
      <c r="J104" s="102" t="s">
        <v>1976</v>
      </c>
      <c r="K104" s="103" t="s">
        <v>170</v>
      </c>
      <c r="L104" s="102" t="s">
        <v>1255</v>
      </c>
      <c r="M104" s="102" t="s">
        <v>1584</v>
      </c>
      <c r="N104" s="103" t="s">
        <v>1982</v>
      </c>
      <c r="O104" s="103" t="s">
        <v>3720</v>
      </c>
      <c r="P104" s="102" t="s">
        <v>3815</v>
      </c>
      <c r="Q104" s="103" t="s">
        <v>3197</v>
      </c>
      <c r="R104" s="103" t="s">
        <v>1013</v>
      </c>
      <c r="S104" s="103" t="s">
        <v>3357</v>
      </c>
      <c r="T104" s="116" t="s">
        <v>3412</v>
      </c>
      <c r="U104" s="102" t="s">
        <v>1966</v>
      </c>
      <c r="V104" s="103" t="s">
        <v>1808</v>
      </c>
      <c r="W104" s="103" t="s">
        <v>1863</v>
      </c>
      <c r="X104" s="102" t="s">
        <v>1017</v>
      </c>
      <c r="Y104" s="102" t="s">
        <v>1023</v>
      </c>
      <c r="Z104" s="102" t="s">
        <v>1584</v>
      </c>
      <c r="AA104" s="102" t="s">
        <v>2569</v>
      </c>
      <c r="AB104" s="103" t="s">
        <v>1216</v>
      </c>
      <c r="AC104" s="103" t="s">
        <v>2738</v>
      </c>
      <c r="AD104" s="102" t="s">
        <v>1028</v>
      </c>
      <c r="AE104" s="103" t="s">
        <v>697</v>
      </c>
      <c r="AF104" s="103" t="s">
        <v>3316</v>
      </c>
      <c r="AG104" s="103" t="s">
        <v>3546</v>
      </c>
      <c r="AH104" s="103" t="s">
        <v>3154</v>
      </c>
      <c r="AI104" s="103" t="s">
        <v>1307</v>
      </c>
      <c r="AJ104" s="103" t="s">
        <v>1033</v>
      </c>
      <c r="AK104" s="103" t="s">
        <v>792</v>
      </c>
      <c r="AL104" s="102" t="s">
        <v>1036</v>
      </c>
      <c r="AM104" s="102" t="s">
        <v>1040</v>
      </c>
      <c r="AN104" s="103" t="s">
        <v>3260</v>
      </c>
      <c r="AO104" s="102" t="s">
        <v>4318</v>
      </c>
      <c r="AP104" s="106" t="s">
        <v>1899</v>
      </c>
      <c r="AQ104" s="102" t="s">
        <v>857</v>
      </c>
      <c r="AR104" s="103" t="s">
        <v>1945</v>
      </c>
      <c r="AS104" s="103" t="s">
        <v>2505</v>
      </c>
      <c r="AT104" s="103" t="s">
        <v>1048</v>
      </c>
      <c r="AU104" s="103" t="s">
        <v>937</v>
      </c>
      <c r="AV104" s="102" t="s">
        <v>1007</v>
      </c>
    </row>
    <row r="105" spans="1:48" ht="15">
      <c r="A105" s="102">
        <v>104</v>
      </c>
      <c r="B105" s="102" t="s">
        <v>1585</v>
      </c>
      <c r="C105" s="102" t="s">
        <v>1957</v>
      </c>
      <c r="D105" s="102" t="s">
        <v>2638</v>
      </c>
      <c r="E105" s="103" t="s">
        <v>2462</v>
      </c>
      <c r="F105" s="102" t="s">
        <v>1961</v>
      </c>
      <c r="G105" s="102" t="s">
        <v>1971</v>
      </c>
      <c r="H105" s="103" t="s">
        <v>4220</v>
      </c>
      <c r="I105" s="103" t="s">
        <v>1774</v>
      </c>
      <c r="J105" s="102" t="s">
        <v>1977</v>
      </c>
      <c r="K105" s="103" t="s">
        <v>171</v>
      </c>
      <c r="L105" s="102" t="s">
        <v>1256</v>
      </c>
      <c r="M105" s="102" t="s">
        <v>1585</v>
      </c>
      <c r="N105" s="103" t="s">
        <v>1983</v>
      </c>
      <c r="O105" s="103" t="s">
        <v>3721</v>
      </c>
      <c r="P105" s="102" t="s">
        <v>3816</v>
      </c>
      <c r="Q105" s="103" t="s">
        <v>3198</v>
      </c>
      <c r="R105" s="103" t="s">
        <v>1014</v>
      </c>
      <c r="S105" s="103" t="s">
        <v>3358</v>
      </c>
      <c r="T105" s="116" t="s">
        <v>3413</v>
      </c>
      <c r="U105" s="102" t="s">
        <v>1967</v>
      </c>
      <c r="V105" s="103" t="s">
        <v>1809</v>
      </c>
      <c r="W105" s="103" t="s">
        <v>1864</v>
      </c>
      <c r="X105" s="102" t="s">
        <v>1018</v>
      </c>
      <c r="Y105" s="102" t="s">
        <v>1024</v>
      </c>
      <c r="Z105" s="102" t="s">
        <v>1585</v>
      </c>
      <c r="AA105" s="102" t="s">
        <v>2570</v>
      </c>
      <c r="AB105" s="103" t="s">
        <v>1217</v>
      </c>
      <c r="AC105" s="103" t="s">
        <v>2739</v>
      </c>
      <c r="AD105" s="102" t="s">
        <v>1029</v>
      </c>
      <c r="AE105" s="103" t="s">
        <v>698</v>
      </c>
      <c r="AF105" s="103" t="s">
        <v>3317</v>
      </c>
      <c r="AG105" s="103" t="s">
        <v>3547</v>
      </c>
      <c r="AH105" s="103" t="s">
        <v>3155</v>
      </c>
      <c r="AI105" s="103" t="s">
        <v>1308</v>
      </c>
      <c r="AJ105" s="103" t="s">
        <v>3452</v>
      </c>
      <c r="AK105" s="103" t="s">
        <v>793</v>
      </c>
      <c r="AL105" s="102" t="s">
        <v>1037</v>
      </c>
      <c r="AM105" s="102" t="s">
        <v>1041</v>
      </c>
      <c r="AN105" s="103" t="s">
        <v>3261</v>
      </c>
      <c r="AO105" s="102" t="s">
        <v>4317</v>
      </c>
      <c r="AP105" s="106" t="s">
        <v>1900</v>
      </c>
      <c r="AQ105" s="102" t="s">
        <v>858</v>
      </c>
      <c r="AR105" s="103" t="s">
        <v>1946</v>
      </c>
      <c r="AS105" s="103" t="s">
        <v>2506</v>
      </c>
      <c r="AT105" s="103" t="s">
        <v>1049</v>
      </c>
      <c r="AU105" s="103" t="s">
        <v>938</v>
      </c>
      <c r="AV105" s="102" t="s">
        <v>1008</v>
      </c>
    </row>
    <row r="106" spans="1:48" ht="15">
      <c r="A106" s="102">
        <v>105</v>
      </c>
      <c r="B106" s="102" t="s">
        <v>1586</v>
      </c>
      <c r="C106" s="102" t="s">
        <v>1586</v>
      </c>
      <c r="D106" s="102" t="s">
        <v>2639</v>
      </c>
      <c r="E106" s="103" t="s">
        <v>2463</v>
      </c>
      <c r="F106" s="102" t="s">
        <v>1962</v>
      </c>
      <c r="G106" s="102" t="s">
        <v>1972</v>
      </c>
      <c r="H106" s="103" t="s">
        <v>4221</v>
      </c>
      <c r="I106" s="103" t="s">
        <v>1775</v>
      </c>
      <c r="J106" s="102" t="s">
        <v>1978</v>
      </c>
      <c r="K106" s="103" t="s">
        <v>172</v>
      </c>
      <c r="L106" s="102" t="s">
        <v>1257</v>
      </c>
      <c r="M106" s="102" t="s">
        <v>1586</v>
      </c>
      <c r="N106" s="103" t="s">
        <v>3671</v>
      </c>
      <c r="O106" s="103" t="s">
        <v>3722</v>
      </c>
      <c r="P106" s="102" t="s">
        <v>3817</v>
      </c>
      <c r="Q106" s="103" t="s">
        <v>3199</v>
      </c>
      <c r="R106" s="103" t="s">
        <v>3097</v>
      </c>
      <c r="S106" s="103" t="s">
        <v>3359</v>
      </c>
      <c r="T106" s="116" t="s">
        <v>3414</v>
      </c>
      <c r="U106" s="102" t="s">
        <v>1066</v>
      </c>
      <c r="V106" s="103" t="s">
        <v>1810</v>
      </c>
      <c r="W106" s="103" t="s">
        <v>1865</v>
      </c>
      <c r="X106" s="102" t="s">
        <v>1019</v>
      </c>
      <c r="Y106" s="102" t="s">
        <v>1025</v>
      </c>
      <c r="Z106" s="102" t="s">
        <v>1586</v>
      </c>
      <c r="AA106" s="102" t="s">
        <v>2571</v>
      </c>
      <c r="AB106" s="103" t="s">
        <v>1218</v>
      </c>
      <c r="AC106" s="103" t="s">
        <v>2740</v>
      </c>
      <c r="AD106" s="102" t="s">
        <v>1586</v>
      </c>
      <c r="AE106" s="103" t="s">
        <v>699</v>
      </c>
      <c r="AF106" s="103" t="s">
        <v>3318</v>
      </c>
      <c r="AG106" s="103" t="s">
        <v>3548</v>
      </c>
      <c r="AH106" s="103" t="s">
        <v>3156</v>
      </c>
      <c r="AI106" s="103" t="s">
        <v>1309</v>
      </c>
      <c r="AJ106" s="103" t="s">
        <v>3453</v>
      </c>
      <c r="AK106" s="103" t="s">
        <v>794</v>
      </c>
      <c r="AL106" s="103" t="s">
        <v>822</v>
      </c>
      <c r="AM106" s="102" t="s">
        <v>1042</v>
      </c>
      <c r="AN106" s="103" t="s">
        <v>3262</v>
      </c>
      <c r="AO106" s="102" t="s">
        <v>4313</v>
      </c>
      <c r="AP106" s="106" t="s">
        <v>1044</v>
      </c>
      <c r="AQ106" s="102" t="s">
        <v>859</v>
      </c>
      <c r="AR106" s="103" t="s">
        <v>1947</v>
      </c>
      <c r="AS106" s="103" t="s">
        <v>2499</v>
      </c>
      <c r="AT106" s="103" t="s">
        <v>1458</v>
      </c>
      <c r="AU106" s="103" t="s">
        <v>939</v>
      </c>
      <c r="AV106" s="102" t="s">
        <v>1009</v>
      </c>
    </row>
    <row r="107" spans="1:48" ht="15">
      <c r="A107" s="102">
        <v>106</v>
      </c>
      <c r="B107" s="102" t="s">
        <v>1587</v>
      </c>
      <c r="C107" s="102" t="s">
        <v>1587</v>
      </c>
      <c r="D107" s="102" t="s">
        <v>2640</v>
      </c>
      <c r="E107" s="103" t="s">
        <v>2464</v>
      </c>
      <c r="F107" s="102" t="s">
        <v>1963</v>
      </c>
      <c r="G107" s="102" t="s">
        <v>1973</v>
      </c>
      <c r="H107" s="103" t="s">
        <v>4222</v>
      </c>
      <c r="I107" s="103" t="s">
        <v>3059</v>
      </c>
      <c r="J107" s="102" t="s">
        <v>1979</v>
      </c>
      <c r="K107" s="103" t="s">
        <v>173</v>
      </c>
      <c r="L107" s="102" t="s">
        <v>1258</v>
      </c>
      <c r="M107" s="102" t="s">
        <v>1587</v>
      </c>
      <c r="N107" s="103" t="s">
        <v>3672</v>
      </c>
      <c r="O107" s="103" t="s">
        <v>3723</v>
      </c>
      <c r="P107" s="102" t="s">
        <v>3818</v>
      </c>
      <c r="Q107" s="103" t="s">
        <v>3200</v>
      </c>
      <c r="R107" s="103" t="s">
        <v>3098</v>
      </c>
      <c r="S107" s="103" t="s">
        <v>3360</v>
      </c>
      <c r="T107" s="116" t="s">
        <v>3415</v>
      </c>
      <c r="U107" s="102" t="s">
        <v>1067</v>
      </c>
      <c r="V107" s="103" t="s">
        <v>1811</v>
      </c>
      <c r="W107" s="103" t="s">
        <v>1866</v>
      </c>
      <c r="X107" s="102" t="s">
        <v>1020</v>
      </c>
      <c r="Y107" s="102" t="s">
        <v>1026</v>
      </c>
      <c r="Z107" s="102" t="s">
        <v>1587</v>
      </c>
      <c r="AA107" s="102" t="s">
        <v>2572</v>
      </c>
      <c r="AB107" s="103" t="s">
        <v>1219</v>
      </c>
      <c r="AC107" s="103" t="s">
        <v>2741</v>
      </c>
      <c r="AD107" s="102" t="s">
        <v>1587</v>
      </c>
      <c r="AE107" s="103" t="s">
        <v>700</v>
      </c>
      <c r="AF107" s="103" t="s">
        <v>3319</v>
      </c>
      <c r="AG107" s="103" t="s">
        <v>3549</v>
      </c>
      <c r="AH107" s="103" t="s">
        <v>3157</v>
      </c>
      <c r="AI107" s="103" t="s">
        <v>1310</v>
      </c>
      <c r="AJ107" s="103" t="s">
        <v>3454</v>
      </c>
      <c r="AK107" s="103" t="s">
        <v>795</v>
      </c>
      <c r="AL107" s="103" t="s">
        <v>823</v>
      </c>
      <c r="AM107" s="102" t="s">
        <v>1043</v>
      </c>
      <c r="AN107" s="103" t="s">
        <v>3263</v>
      </c>
      <c r="AO107" s="102" t="s">
        <v>4314</v>
      </c>
      <c r="AP107" s="106" t="s">
        <v>1045</v>
      </c>
      <c r="AQ107" s="102" t="s">
        <v>860</v>
      </c>
      <c r="AR107" s="103" t="s">
        <v>1948</v>
      </c>
      <c r="AS107" s="103" t="s">
        <v>2500</v>
      </c>
      <c r="AT107" s="103" t="s">
        <v>1459</v>
      </c>
      <c r="AU107" s="103" t="s">
        <v>940</v>
      </c>
      <c r="AV107" s="102" t="s">
        <v>1010</v>
      </c>
    </row>
    <row r="108" spans="1:48" ht="15">
      <c r="A108" s="102">
        <v>107</v>
      </c>
      <c r="B108" s="102" t="s">
        <v>3859</v>
      </c>
      <c r="C108" s="102" t="s">
        <v>3860</v>
      </c>
      <c r="D108" s="102" t="s">
        <v>3861</v>
      </c>
      <c r="E108" s="103" t="s">
        <v>3862</v>
      </c>
      <c r="F108" s="102" t="s">
        <v>3863</v>
      </c>
      <c r="G108" s="102" t="s">
        <v>3864</v>
      </c>
      <c r="H108" s="103" t="s">
        <v>3865</v>
      </c>
      <c r="I108" s="103" t="s">
        <v>3866</v>
      </c>
      <c r="J108" s="102" t="s">
        <v>3867</v>
      </c>
      <c r="K108" s="103" t="s">
        <v>3868</v>
      </c>
      <c r="L108" s="102" t="s">
        <v>3869</v>
      </c>
      <c r="M108" s="102" t="s">
        <v>3859</v>
      </c>
      <c r="N108" s="103" t="s">
        <v>3870</v>
      </c>
      <c r="O108" s="103" t="s">
        <v>3871</v>
      </c>
      <c r="P108" s="103" t="s">
        <v>3872</v>
      </c>
      <c r="Q108" s="103" t="s">
        <v>3873</v>
      </c>
      <c r="R108" s="103" t="s">
        <v>3874</v>
      </c>
      <c r="S108" s="103" t="s">
        <v>3875</v>
      </c>
      <c r="T108" s="116" t="s">
        <v>3876</v>
      </c>
      <c r="U108" s="102" t="s">
        <v>3877</v>
      </c>
      <c r="V108" s="103" t="s">
        <v>3878</v>
      </c>
      <c r="W108" s="103" t="s">
        <v>3879</v>
      </c>
      <c r="X108" s="102" t="s">
        <v>3880</v>
      </c>
      <c r="Y108" s="102" t="s">
        <v>3881</v>
      </c>
      <c r="Z108" s="102" t="s">
        <v>3882</v>
      </c>
      <c r="AA108" s="102" t="s">
        <v>3883</v>
      </c>
      <c r="AB108" s="103" t="s">
        <v>3884</v>
      </c>
      <c r="AC108" s="103" t="s">
        <v>3885</v>
      </c>
      <c r="AD108" s="102" t="s">
        <v>1030</v>
      </c>
      <c r="AE108" s="103" t="s">
        <v>3886</v>
      </c>
      <c r="AF108" s="103" t="s">
        <v>3887</v>
      </c>
      <c r="AG108" s="103" t="s">
        <v>3888</v>
      </c>
      <c r="AH108" s="103" t="s">
        <v>3889</v>
      </c>
      <c r="AI108" s="103" t="s">
        <v>3890</v>
      </c>
      <c r="AJ108" s="103" t="s">
        <v>3891</v>
      </c>
      <c r="AK108" s="103" t="s">
        <v>3892</v>
      </c>
      <c r="AL108" s="103" t="s">
        <v>3893</v>
      </c>
      <c r="AM108" s="102" t="s">
        <v>3894</v>
      </c>
      <c r="AN108" s="103" t="s">
        <v>3895</v>
      </c>
      <c r="AO108" s="102" t="s">
        <v>4315</v>
      </c>
      <c r="AP108" s="106" t="s">
        <v>3896</v>
      </c>
      <c r="AQ108" s="102" t="s">
        <v>3897</v>
      </c>
      <c r="AR108" s="103" t="s">
        <v>3898</v>
      </c>
      <c r="AS108" s="103" t="s">
        <v>3899</v>
      </c>
      <c r="AT108" s="103" t="s">
        <v>3900</v>
      </c>
      <c r="AU108" s="103" t="s">
        <v>3901</v>
      </c>
      <c r="AV108" s="103" t="s">
        <v>3902</v>
      </c>
    </row>
    <row r="109" spans="1:48" ht="15">
      <c r="B109" s="102" t="s">
        <v>3903</v>
      </c>
      <c r="C109" s="102" t="s">
        <v>3904</v>
      </c>
      <c r="D109" s="102" t="s">
        <v>3905</v>
      </c>
      <c r="E109" s="103" t="s">
        <v>3906</v>
      </c>
      <c r="F109" s="102" t="s">
        <v>3907</v>
      </c>
      <c r="G109" s="102" t="s">
        <v>3908</v>
      </c>
      <c r="H109" s="103" t="s">
        <v>3909</v>
      </c>
      <c r="I109" s="102" t="s">
        <v>3910</v>
      </c>
      <c r="J109" s="102" t="s">
        <v>3911</v>
      </c>
      <c r="K109" s="103" t="s">
        <v>3912</v>
      </c>
      <c r="L109" s="102" t="s">
        <v>3913</v>
      </c>
      <c r="M109" s="102" t="s">
        <v>3903</v>
      </c>
      <c r="N109" s="103" t="s">
        <v>3914</v>
      </c>
      <c r="O109" s="103" t="s">
        <v>3915</v>
      </c>
      <c r="P109" s="103" t="s">
        <v>3916</v>
      </c>
      <c r="Q109" s="103" t="s">
        <v>3917</v>
      </c>
      <c r="R109" s="103" t="s">
        <v>3918</v>
      </c>
      <c r="S109" s="103" t="s">
        <v>3919</v>
      </c>
      <c r="T109" s="116" t="s">
        <v>3920</v>
      </c>
      <c r="U109" s="102" t="s">
        <v>3921</v>
      </c>
      <c r="V109" s="103" t="s">
        <v>3922</v>
      </c>
      <c r="W109" s="103" t="s">
        <v>3923</v>
      </c>
      <c r="X109" s="102" t="s">
        <v>3924</v>
      </c>
      <c r="Y109" s="102" t="s">
        <v>3925</v>
      </c>
      <c r="Z109" s="102" t="s">
        <v>3903</v>
      </c>
      <c r="AA109" s="102" t="s">
        <v>3926</v>
      </c>
      <c r="AB109" s="103" t="s">
        <v>3927</v>
      </c>
      <c r="AC109" s="103" t="s">
        <v>3928</v>
      </c>
      <c r="AD109" s="102" t="s">
        <v>1031</v>
      </c>
      <c r="AE109" s="103" t="s">
        <v>3929</v>
      </c>
      <c r="AF109" s="103" t="s">
        <v>3930</v>
      </c>
      <c r="AG109" s="103" t="s">
        <v>3931</v>
      </c>
      <c r="AH109" s="103" t="s">
        <v>3932</v>
      </c>
      <c r="AI109" s="103" t="s">
        <v>3933</v>
      </c>
      <c r="AJ109" s="103" t="s">
        <v>3934</v>
      </c>
      <c r="AK109" s="103" t="s">
        <v>3935</v>
      </c>
      <c r="AL109" s="103" t="s">
        <v>3936</v>
      </c>
      <c r="AM109" s="102" t="s">
        <v>3937</v>
      </c>
      <c r="AN109" s="103" t="s">
        <v>3938</v>
      </c>
      <c r="AO109" s="102" t="s">
        <v>4316</v>
      </c>
      <c r="AP109" s="106" t="s">
        <v>3939</v>
      </c>
      <c r="AQ109" s="102" t="s">
        <v>3940</v>
      </c>
      <c r="AR109" s="103" t="s">
        <v>3941</v>
      </c>
      <c r="AS109" s="103" t="s">
        <v>3942</v>
      </c>
      <c r="AT109" s="103" t="s">
        <v>3943</v>
      </c>
      <c r="AU109" s="103" t="s">
        <v>3944</v>
      </c>
      <c r="AV109" s="103" t="s">
        <v>3945</v>
      </c>
    </row>
    <row r="111" spans="1:48">
      <c r="AR111" s="103"/>
    </row>
  </sheetData>
  <sheetProtection password="CEE2" sheet="1" objects="1" scenarios="1" selectLockedCells="1" selectUnlockedCells="1"/>
  <phoneticPr fontId="1" type="noConversion"/>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1" sqref="O11"/>
    </sheetView>
  </sheetViews>
  <sheetFormatPr defaultRowHeight="12.75"/>
  <sheetData/>
  <sheetProtection password="CE0F"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showGridLines="0" workbookViewId="0">
      <selection activeCell="AS7" sqref="AS7"/>
    </sheetView>
  </sheetViews>
  <sheetFormatPr defaultColWidth="0" defaultRowHeight="12.75"/>
  <cols>
    <col min="1" max="50" width="3.7109375" customWidth="1"/>
    <col min="51" max="51" width="8.85546875" customWidth="1"/>
    <col min="52" max="16384" width="8.85546875"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spans="2:50" ht="15" customHeight="1"/>
    <row r="18" spans="2:50" ht="15" customHeight="1"/>
    <row r="19" spans="2:50" ht="15" customHeight="1">
      <c r="B19" s="122" t="s">
        <v>4255</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AA19" s="122" t="s">
        <v>4256</v>
      </c>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row>
    <row r="20" spans="2:50" ht="15" customHeight="1"/>
    <row r="21" spans="2:50" ht="45" customHeight="1">
      <c r="C21" s="179" t="s">
        <v>4271</v>
      </c>
      <c r="D21" s="180"/>
      <c r="E21" s="180"/>
      <c r="F21" s="180"/>
      <c r="G21" s="180"/>
      <c r="H21" s="180"/>
      <c r="I21" s="180"/>
      <c r="J21" s="180"/>
      <c r="K21" s="180"/>
      <c r="L21" s="180"/>
      <c r="M21" s="180"/>
      <c r="N21" s="180"/>
      <c r="O21" s="180"/>
      <c r="P21" s="180"/>
      <c r="Q21" s="180"/>
      <c r="R21" s="180"/>
      <c r="S21" s="180"/>
      <c r="T21" s="180"/>
      <c r="U21" s="180"/>
      <c r="V21" s="180"/>
      <c r="W21" s="180"/>
      <c r="X21" s="180"/>
      <c r="Y21" s="181"/>
      <c r="AB21" s="179" t="s">
        <v>4257</v>
      </c>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1"/>
    </row>
    <row r="22" spans="2:50" ht="15" customHeight="1">
      <c r="C22" s="182"/>
      <c r="D22" s="183"/>
      <c r="E22" s="183"/>
      <c r="F22" s="183"/>
      <c r="G22" s="183"/>
      <c r="H22" s="183"/>
      <c r="I22" s="183"/>
      <c r="J22" s="183"/>
      <c r="K22" s="183"/>
      <c r="L22" s="183"/>
      <c r="M22" s="183"/>
      <c r="N22" s="183"/>
      <c r="O22" s="183"/>
      <c r="P22" s="184"/>
      <c r="Q22" s="182" t="s">
        <v>4225</v>
      </c>
      <c r="R22" s="183"/>
      <c r="S22" s="183"/>
      <c r="T22" s="184"/>
      <c r="U22" s="182" t="s">
        <v>4226</v>
      </c>
      <c r="V22" s="183"/>
      <c r="W22" s="183"/>
      <c r="X22" s="183"/>
      <c r="Y22" s="184"/>
      <c r="AB22" s="182"/>
      <c r="AC22" s="183"/>
      <c r="AD22" s="183"/>
      <c r="AE22" s="183"/>
      <c r="AF22" s="183"/>
      <c r="AG22" s="183"/>
      <c r="AH22" s="183"/>
      <c r="AI22" s="183"/>
      <c r="AJ22" s="183"/>
      <c r="AK22" s="183"/>
      <c r="AL22" s="183"/>
      <c r="AM22" s="183"/>
      <c r="AN22" s="183"/>
      <c r="AO22" s="184"/>
      <c r="AP22" s="182" t="s">
        <v>4225</v>
      </c>
      <c r="AQ22" s="183"/>
      <c r="AR22" s="183"/>
      <c r="AS22" s="184"/>
      <c r="AT22" s="182" t="s">
        <v>4226</v>
      </c>
      <c r="AU22" s="183"/>
      <c r="AV22" s="183"/>
      <c r="AW22" s="183"/>
      <c r="AX22" s="184"/>
    </row>
    <row r="23" spans="2:50" ht="30" customHeight="1">
      <c r="C23" s="173" t="s">
        <v>4272</v>
      </c>
      <c r="D23" s="174"/>
      <c r="E23" s="174"/>
      <c r="F23" s="174"/>
      <c r="G23" s="174"/>
      <c r="H23" s="174"/>
      <c r="I23" s="174"/>
      <c r="J23" s="174"/>
      <c r="K23" s="174"/>
      <c r="L23" s="174"/>
      <c r="M23" s="174"/>
      <c r="N23" s="174"/>
      <c r="O23" s="174"/>
      <c r="P23" s="175"/>
      <c r="Q23" s="173" t="s">
        <v>4228</v>
      </c>
      <c r="R23" s="174"/>
      <c r="S23" s="174"/>
      <c r="T23" s="175"/>
      <c r="U23" s="176" t="s">
        <v>4229</v>
      </c>
      <c r="V23" s="177"/>
      <c r="W23" s="177"/>
      <c r="X23" s="177"/>
      <c r="Y23" s="178"/>
      <c r="AB23" s="173" t="s">
        <v>4258</v>
      </c>
      <c r="AC23" s="174"/>
      <c r="AD23" s="174"/>
      <c r="AE23" s="174"/>
      <c r="AF23" s="174"/>
      <c r="AG23" s="174"/>
      <c r="AH23" s="174"/>
      <c r="AI23" s="174"/>
      <c r="AJ23" s="174"/>
      <c r="AK23" s="174"/>
      <c r="AL23" s="174"/>
      <c r="AM23" s="174"/>
      <c r="AN23" s="174"/>
      <c r="AO23" s="175"/>
      <c r="AP23" s="173" t="s">
        <v>4228</v>
      </c>
      <c r="AQ23" s="174"/>
      <c r="AR23" s="174"/>
      <c r="AS23" s="175"/>
      <c r="AT23" s="176" t="s">
        <v>4229</v>
      </c>
      <c r="AU23" s="177"/>
      <c r="AV23" s="177"/>
      <c r="AW23" s="177"/>
      <c r="AX23" s="178"/>
    </row>
    <row r="24" spans="2:50" ht="30" customHeight="1">
      <c r="C24" s="179" t="s">
        <v>4273</v>
      </c>
      <c r="D24" s="180"/>
      <c r="E24" s="180"/>
      <c r="F24" s="180"/>
      <c r="G24" s="180"/>
      <c r="H24" s="180"/>
      <c r="I24" s="180"/>
      <c r="J24" s="180"/>
      <c r="K24" s="180"/>
      <c r="L24" s="180"/>
      <c r="M24" s="180"/>
      <c r="N24" s="180"/>
      <c r="O24" s="180"/>
      <c r="P24" s="181"/>
      <c r="Q24" s="173" t="s">
        <v>4259</v>
      </c>
      <c r="R24" s="174"/>
      <c r="S24" s="174"/>
      <c r="T24" s="175"/>
      <c r="U24" s="176"/>
      <c r="V24" s="177"/>
      <c r="W24" s="177"/>
      <c r="X24" s="177"/>
      <c r="Y24" s="178"/>
      <c r="AB24" s="179" t="s">
        <v>4260</v>
      </c>
      <c r="AC24" s="180"/>
      <c r="AD24" s="180"/>
      <c r="AE24" s="180"/>
      <c r="AF24" s="180"/>
      <c r="AG24" s="180"/>
      <c r="AH24" s="180"/>
      <c r="AI24" s="180"/>
      <c r="AJ24" s="180"/>
      <c r="AK24" s="180"/>
      <c r="AL24" s="180"/>
      <c r="AM24" s="180"/>
      <c r="AN24" s="180"/>
      <c r="AO24" s="181"/>
      <c r="AP24" s="173" t="s">
        <v>4248</v>
      </c>
      <c r="AQ24" s="174"/>
      <c r="AR24" s="174"/>
      <c r="AS24" s="175"/>
      <c r="AT24" s="176"/>
      <c r="AU24" s="177"/>
      <c r="AV24" s="177"/>
      <c r="AW24" s="177"/>
      <c r="AX24" s="178"/>
    </row>
    <row r="26" spans="2:50">
      <c r="B26" s="122" t="s">
        <v>4261</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AA26" s="122" t="s">
        <v>4262</v>
      </c>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row>
    <row r="28" spans="2:50" ht="45" customHeight="1">
      <c r="C28" s="179" t="s">
        <v>4263</v>
      </c>
      <c r="D28" s="180"/>
      <c r="E28" s="180"/>
      <c r="F28" s="180"/>
      <c r="G28" s="180"/>
      <c r="H28" s="180"/>
      <c r="I28" s="180"/>
      <c r="J28" s="180"/>
      <c r="K28" s="180"/>
      <c r="L28" s="180"/>
      <c r="M28" s="180"/>
      <c r="N28" s="180"/>
      <c r="O28" s="180"/>
      <c r="P28" s="180"/>
      <c r="Q28" s="180"/>
      <c r="R28" s="180"/>
      <c r="S28" s="180"/>
      <c r="T28" s="180"/>
      <c r="U28" s="180"/>
      <c r="V28" s="180"/>
      <c r="W28" s="180"/>
      <c r="X28" s="180"/>
      <c r="Y28" s="181"/>
      <c r="AB28" s="179" t="s">
        <v>4264</v>
      </c>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1"/>
    </row>
    <row r="29" spans="2:50">
      <c r="C29" s="182"/>
      <c r="D29" s="183"/>
      <c r="E29" s="183"/>
      <c r="F29" s="183"/>
      <c r="G29" s="183"/>
      <c r="H29" s="183"/>
      <c r="I29" s="183"/>
      <c r="J29" s="183"/>
      <c r="K29" s="183"/>
      <c r="L29" s="183"/>
      <c r="M29" s="183"/>
      <c r="N29" s="183"/>
      <c r="O29" s="183"/>
      <c r="P29" s="184"/>
      <c r="Q29" s="182" t="s">
        <v>4225</v>
      </c>
      <c r="R29" s="183"/>
      <c r="S29" s="183"/>
      <c r="T29" s="184"/>
      <c r="U29" s="182" t="s">
        <v>4226</v>
      </c>
      <c r="V29" s="183"/>
      <c r="W29" s="183"/>
      <c r="X29" s="183"/>
      <c r="Y29" s="184"/>
      <c r="AB29" s="182"/>
      <c r="AC29" s="183"/>
      <c r="AD29" s="183"/>
      <c r="AE29" s="183"/>
      <c r="AF29" s="183"/>
      <c r="AG29" s="183"/>
      <c r="AH29" s="183"/>
      <c r="AI29" s="183"/>
      <c r="AJ29" s="183"/>
      <c r="AK29" s="183"/>
      <c r="AL29" s="183"/>
      <c r="AM29" s="183"/>
      <c r="AN29" s="183"/>
      <c r="AO29" s="184"/>
      <c r="AP29" s="182" t="s">
        <v>4225</v>
      </c>
      <c r="AQ29" s="183"/>
      <c r="AR29" s="183"/>
      <c r="AS29" s="184"/>
      <c r="AT29" s="182" t="s">
        <v>4226</v>
      </c>
      <c r="AU29" s="183"/>
      <c r="AV29" s="183"/>
      <c r="AW29" s="183"/>
      <c r="AX29" s="184"/>
    </row>
    <row r="30" spans="2:50" ht="30" customHeight="1">
      <c r="C30" s="179" t="s">
        <v>4265</v>
      </c>
      <c r="D30" s="180"/>
      <c r="E30" s="180"/>
      <c r="F30" s="180"/>
      <c r="G30" s="180"/>
      <c r="H30" s="180"/>
      <c r="I30" s="180"/>
      <c r="J30" s="180"/>
      <c r="K30" s="180"/>
      <c r="L30" s="180"/>
      <c r="M30" s="180"/>
      <c r="N30" s="180"/>
      <c r="O30" s="180"/>
      <c r="P30" s="181"/>
      <c r="Q30" s="173" t="s">
        <v>4228</v>
      </c>
      <c r="R30" s="174"/>
      <c r="S30" s="174"/>
      <c r="T30" s="175"/>
      <c r="U30" s="176" t="s">
        <v>4229</v>
      </c>
      <c r="V30" s="177"/>
      <c r="W30" s="177"/>
      <c r="X30" s="177"/>
      <c r="Y30" s="178"/>
      <c r="AB30" s="173" t="s">
        <v>4266</v>
      </c>
      <c r="AC30" s="174"/>
      <c r="AD30" s="174"/>
      <c r="AE30" s="174"/>
      <c r="AF30" s="174"/>
      <c r="AG30" s="174"/>
      <c r="AH30" s="174"/>
      <c r="AI30" s="174"/>
      <c r="AJ30" s="174"/>
      <c r="AK30" s="174"/>
      <c r="AL30" s="174"/>
      <c r="AM30" s="174"/>
      <c r="AN30" s="174"/>
      <c r="AO30" s="175"/>
      <c r="AP30" s="173" t="s">
        <v>4228</v>
      </c>
      <c r="AQ30" s="174"/>
      <c r="AR30" s="174"/>
      <c r="AS30" s="175"/>
      <c r="AT30" s="176" t="s">
        <v>4229</v>
      </c>
      <c r="AU30" s="177"/>
      <c r="AV30" s="177"/>
      <c r="AW30" s="177"/>
      <c r="AX30" s="178"/>
    </row>
    <row r="31" spans="2:50" ht="30" customHeight="1">
      <c r="C31" s="179" t="s">
        <v>4267</v>
      </c>
      <c r="D31" s="180"/>
      <c r="E31" s="180"/>
      <c r="F31" s="180"/>
      <c r="G31" s="180"/>
      <c r="H31" s="180"/>
      <c r="I31" s="180"/>
      <c r="J31" s="180"/>
      <c r="K31" s="180"/>
      <c r="L31" s="180"/>
      <c r="M31" s="180"/>
      <c r="N31" s="180"/>
      <c r="O31" s="180"/>
      <c r="P31" s="181"/>
      <c r="Q31" s="173" t="s">
        <v>4268</v>
      </c>
      <c r="R31" s="174"/>
      <c r="S31" s="174"/>
      <c r="T31" s="175"/>
      <c r="U31" s="176"/>
      <c r="V31" s="177"/>
      <c r="W31" s="177"/>
      <c r="X31" s="177"/>
      <c r="Y31" s="178"/>
      <c r="AB31" s="179" t="s">
        <v>4269</v>
      </c>
      <c r="AC31" s="180"/>
      <c r="AD31" s="180"/>
      <c r="AE31" s="180"/>
      <c r="AF31" s="180"/>
      <c r="AG31" s="180"/>
      <c r="AH31" s="180"/>
      <c r="AI31" s="180"/>
      <c r="AJ31" s="180"/>
      <c r="AK31" s="180"/>
      <c r="AL31" s="180"/>
      <c r="AM31" s="180"/>
      <c r="AN31" s="180"/>
      <c r="AO31" s="181"/>
      <c r="AP31" s="173" t="s">
        <v>4270</v>
      </c>
      <c r="AQ31" s="174"/>
      <c r="AR31" s="174"/>
      <c r="AS31" s="175"/>
      <c r="AT31" s="176"/>
      <c r="AU31" s="177"/>
      <c r="AV31" s="177"/>
      <c r="AW31" s="177"/>
      <c r="AX31" s="178"/>
    </row>
    <row r="33" spans="2:50" ht="15">
      <c r="B33" s="122" t="s">
        <v>4223</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AA33" s="129" t="s">
        <v>4235</v>
      </c>
      <c r="AB33" s="135"/>
      <c r="AC33" s="135"/>
      <c r="AD33" s="135"/>
      <c r="AE33" s="135"/>
      <c r="AF33" s="135"/>
      <c r="AG33" s="135"/>
      <c r="AH33" s="135"/>
      <c r="AI33" s="135"/>
      <c r="AJ33" s="135"/>
      <c r="AK33" s="135"/>
      <c r="AL33" s="135"/>
      <c r="AM33" s="135"/>
      <c r="AN33" s="135"/>
      <c r="AO33" s="133"/>
      <c r="AP33" s="133"/>
      <c r="AQ33" s="133"/>
      <c r="AR33" s="133"/>
      <c r="AS33" s="134"/>
      <c r="AT33" s="134"/>
      <c r="AU33" s="134"/>
      <c r="AV33" s="134"/>
      <c r="AW33" s="134"/>
      <c r="AX33" s="123"/>
    </row>
    <row r="34" spans="2:50" ht="15">
      <c r="B34" s="124"/>
      <c r="C34" s="99"/>
      <c r="D34" s="99"/>
      <c r="E34" s="99"/>
      <c r="F34" s="99"/>
      <c r="G34" s="99"/>
      <c r="H34" s="99"/>
      <c r="I34" s="99"/>
      <c r="J34" s="99"/>
      <c r="K34" s="99"/>
      <c r="L34" s="99"/>
      <c r="M34" s="99"/>
      <c r="N34" s="99"/>
      <c r="O34" s="99"/>
      <c r="P34" s="99"/>
      <c r="Q34" s="99"/>
      <c r="R34" s="99"/>
      <c r="S34" s="99"/>
      <c r="T34" s="99"/>
      <c r="U34" s="99"/>
      <c r="V34" s="99"/>
      <c r="W34" s="99"/>
      <c r="X34" s="99"/>
      <c r="Y34" s="99"/>
      <c r="AA34" s="130"/>
      <c r="AB34" s="125"/>
      <c r="AC34" s="125"/>
      <c r="AD34" s="125"/>
      <c r="AE34" s="125"/>
      <c r="AF34" s="125"/>
      <c r="AG34" s="125"/>
      <c r="AH34" s="125"/>
      <c r="AI34" s="125"/>
      <c r="AJ34" s="125"/>
      <c r="AK34" s="125"/>
      <c r="AL34" s="125"/>
      <c r="AM34" s="125"/>
      <c r="AN34" s="125"/>
      <c r="AO34" s="127"/>
      <c r="AP34" s="127"/>
      <c r="AQ34" s="127"/>
      <c r="AR34" s="127"/>
      <c r="AS34" s="128"/>
      <c r="AT34" s="128"/>
      <c r="AU34" s="128"/>
      <c r="AV34" s="128"/>
      <c r="AW34" s="128"/>
      <c r="AX34" s="99"/>
    </row>
    <row r="35" spans="2:50" ht="45" customHeight="1">
      <c r="B35" s="124"/>
      <c r="C35" s="179" t="s">
        <v>4224</v>
      </c>
      <c r="D35" s="180"/>
      <c r="E35" s="180"/>
      <c r="F35" s="180"/>
      <c r="G35" s="180"/>
      <c r="H35" s="180"/>
      <c r="I35" s="180"/>
      <c r="J35" s="180"/>
      <c r="K35" s="180"/>
      <c r="L35" s="180"/>
      <c r="M35" s="180"/>
      <c r="N35" s="180"/>
      <c r="O35" s="180"/>
      <c r="P35" s="180"/>
      <c r="Q35" s="180"/>
      <c r="R35" s="180"/>
      <c r="S35" s="180"/>
      <c r="T35" s="180"/>
      <c r="U35" s="180"/>
      <c r="V35" s="180"/>
      <c r="W35" s="180"/>
      <c r="X35" s="180"/>
      <c r="Y35" s="181"/>
      <c r="AA35" s="131"/>
      <c r="AB35" s="179" t="s">
        <v>4236</v>
      </c>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1"/>
    </row>
    <row r="36" spans="2:50">
      <c r="B36" s="99"/>
      <c r="C36" s="182"/>
      <c r="D36" s="183"/>
      <c r="E36" s="183"/>
      <c r="F36" s="183"/>
      <c r="G36" s="183"/>
      <c r="H36" s="183"/>
      <c r="I36" s="183"/>
      <c r="J36" s="183"/>
      <c r="K36" s="183"/>
      <c r="L36" s="183"/>
      <c r="M36" s="183"/>
      <c r="N36" s="183"/>
      <c r="O36" s="183"/>
      <c r="P36" s="184"/>
      <c r="Q36" s="182" t="s">
        <v>4225</v>
      </c>
      <c r="R36" s="183"/>
      <c r="S36" s="183"/>
      <c r="T36" s="184"/>
      <c r="U36" s="182" t="s">
        <v>4226</v>
      </c>
      <c r="V36" s="183"/>
      <c r="W36" s="183"/>
      <c r="X36" s="183"/>
      <c r="Y36" s="184"/>
      <c r="AA36" s="99"/>
      <c r="AB36" s="182"/>
      <c r="AC36" s="183"/>
      <c r="AD36" s="183"/>
      <c r="AE36" s="183"/>
      <c r="AF36" s="183"/>
      <c r="AG36" s="183"/>
      <c r="AH36" s="183"/>
      <c r="AI36" s="183"/>
      <c r="AJ36" s="183"/>
      <c r="AK36" s="183"/>
      <c r="AL36" s="183"/>
      <c r="AM36" s="183"/>
      <c r="AN36" s="183"/>
      <c r="AO36" s="184"/>
      <c r="AP36" s="182" t="s">
        <v>4225</v>
      </c>
      <c r="AQ36" s="183"/>
      <c r="AR36" s="183"/>
      <c r="AS36" s="184"/>
      <c r="AT36" s="182" t="s">
        <v>4226</v>
      </c>
      <c r="AU36" s="183"/>
      <c r="AV36" s="183"/>
      <c r="AW36" s="183"/>
      <c r="AX36" s="184"/>
    </row>
    <row r="37" spans="2:50" ht="30" customHeight="1">
      <c r="B37" s="99"/>
      <c r="C37" s="173" t="s">
        <v>4227</v>
      </c>
      <c r="D37" s="174"/>
      <c r="E37" s="174"/>
      <c r="F37" s="174"/>
      <c r="G37" s="174"/>
      <c r="H37" s="174"/>
      <c r="I37" s="174"/>
      <c r="J37" s="174"/>
      <c r="K37" s="174"/>
      <c r="L37" s="174"/>
      <c r="M37" s="174"/>
      <c r="N37" s="174"/>
      <c r="O37" s="174"/>
      <c r="P37" s="175"/>
      <c r="Q37" s="173" t="s">
        <v>4228</v>
      </c>
      <c r="R37" s="174"/>
      <c r="S37" s="174"/>
      <c r="T37" s="175"/>
      <c r="U37" s="176" t="s">
        <v>4229</v>
      </c>
      <c r="V37" s="177"/>
      <c r="W37" s="177"/>
      <c r="X37" s="177"/>
      <c r="Y37" s="178"/>
      <c r="AA37" s="99"/>
      <c r="AB37" s="179" t="s">
        <v>4237</v>
      </c>
      <c r="AC37" s="180"/>
      <c r="AD37" s="180"/>
      <c r="AE37" s="180"/>
      <c r="AF37" s="180"/>
      <c r="AG37" s="180"/>
      <c r="AH37" s="180"/>
      <c r="AI37" s="180"/>
      <c r="AJ37" s="180"/>
      <c r="AK37" s="180"/>
      <c r="AL37" s="180"/>
      <c r="AM37" s="180"/>
      <c r="AN37" s="180"/>
      <c r="AO37" s="181"/>
      <c r="AP37" s="173" t="s">
        <v>4228</v>
      </c>
      <c r="AQ37" s="174"/>
      <c r="AR37" s="174"/>
      <c r="AS37" s="175"/>
      <c r="AT37" s="176" t="s">
        <v>4229</v>
      </c>
      <c r="AU37" s="177"/>
      <c r="AV37" s="177"/>
      <c r="AW37" s="177"/>
      <c r="AX37" s="178"/>
    </row>
    <row r="38" spans="2:50" ht="30" customHeight="1">
      <c r="B38" s="99"/>
      <c r="C38" s="173" t="s">
        <v>4230</v>
      </c>
      <c r="D38" s="174"/>
      <c r="E38" s="174"/>
      <c r="F38" s="174"/>
      <c r="G38" s="174"/>
      <c r="H38" s="174"/>
      <c r="I38" s="174"/>
      <c r="J38" s="174"/>
      <c r="K38" s="174"/>
      <c r="L38" s="174"/>
      <c r="M38" s="174"/>
      <c r="N38" s="174"/>
      <c r="O38" s="174"/>
      <c r="P38" s="175"/>
      <c r="Q38" s="173" t="s">
        <v>4228</v>
      </c>
      <c r="R38" s="174"/>
      <c r="S38" s="174"/>
      <c r="T38" s="175"/>
      <c r="U38" s="176" t="s">
        <v>4229</v>
      </c>
      <c r="V38" s="177"/>
      <c r="W38" s="177"/>
      <c r="X38" s="177"/>
      <c r="Y38" s="178"/>
      <c r="AA38" s="99"/>
      <c r="AB38" s="179" t="s">
        <v>4238</v>
      </c>
      <c r="AC38" s="180"/>
      <c r="AD38" s="180"/>
      <c r="AE38" s="180"/>
      <c r="AF38" s="180"/>
      <c r="AG38" s="180"/>
      <c r="AH38" s="180"/>
      <c r="AI38" s="180"/>
      <c r="AJ38" s="180"/>
      <c r="AK38" s="180"/>
      <c r="AL38" s="180"/>
      <c r="AM38" s="180"/>
      <c r="AN38" s="180"/>
      <c r="AO38" s="181"/>
      <c r="AP38" s="173" t="s">
        <v>4228</v>
      </c>
      <c r="AQ38" s="174"/>
      <c r="AR38" s="174"/>
      <c r="AS38" s="175"/>
      <c r="AT38" s="176" t="s">
        <v>4229</v>
      </c>
      <c r="AU38" s="177"/>
      <c r="AV38" s="177"/>
      <c r="AW38" s="177"/>
      <c r="AX38" s="178"/>
    </row>
    <row r="39" spans="2:50" ht="15" customHeight="1">
      <c r="B39" s="99"/>
      <c r="C39" s="185" t="s">
        <v>4231</v>
      </c>
      <c r="D39" s="186"/>
      <c r="E39" s="186"/>
      <c r="F39" s="186"/>
      <c r="G39" s="186"/>
      <c r="H39" s="186"/>
      <c r="I39" s="186"/>
      <c r="J39" s="186"/>
      <c r="K39" s="186"/>
      <c r="L39" s="186"/>
      <c r="M39" s="186"/>
      <c r="N39" s="186"/>
      <c r="O39" s="186"/>
      <c r="P39" s="187"/>
      <c r="Q39" s="191" t="s">
        <v>4232</v>
      </c>
      <c r="R39" s="192"/>
      <c r="S39" s="192"/>
      <c r="T39" s="193"/>
      <c r="U39" s="197"/>
      <c r="V39" s="198"/>
      <c r="W39" s="198"/>
      <c r="X39" s="198"/>
      <c r="Y39" s="199"/>
      <c r="AA39" s="99"/>
      <c r="AB39" s="203" t="s">
        <v>4239</v>
      </c>
      <c r="AC39" s="204"/>
      <c r="AD39" s="204"/>
      <c r="AE39" s="204"/>
      <c r="AF39" s="204"/>
      <c r="AG39" s="204"/>
      <c r="AH39" s="204"/>
      <c r="AI39" s="204"/>
      <c r="AJ39" s="204"/>
      <c r="AK39" s="204"/>
      <c r="AL39" s="204"/>
      <c r="AM39" s="204"/>
      <c r="AN39" s="204"/>
      <c r="AO39" s="205"/>
      <c r="AP39" s="191" t="s">
        <v>4240</v>
      </c>
      <c r="AQ39" s="192"/>
      <c r="AR39" s="192"/>
      <c r="AS39" s="193"/>
      <c r="AT39" s="197"/>
      <c r="AU39" s="198"/>
      <c r="AV39" s="198"/>
      <c r="AW39" s="198"/>
      <c r="AX39" s="199"/>
    </row>
    <row r="40" spans="2:50" ht="15" customHeight="1">
      <c r="B40" s="99"/>
      <c r="C40" s="188"/>
      <c r="D40" s="189"/>
      <c r="E40" s="189"/>
      <c r="F40" s="189"/>
      <c r="G40" s="189"/>
      <c r="H40" s="189"/>
      <c r="I40" s="189"/>
      <c r="J40" s="189"/>
      <c r="K40" s="189"/>
      <c r="L40" s="189"/>
      <c r="M40" s="189"/>
      <c r="N40" s="189"/>
      <c r="O40" s="189"/>
      <c r="P40" s="190"/>
      <c r="Q40" s="194"/>
      <c r="R40" s="195"/>
      <c r="S40" s="195"/>
      <c r="T40" s="196"/>
      <c r="U40" s="200"/>
      <c r="V40" s="201"/>
      <c r="W40" s="201"/>
      <c r="X40" s="201"/>
      <c r="Y40" s="202"/>
      <c r="AA40" s="99"/>
      <c r="AB40" s="206"/>
      <c r="AC40" s="207"/>
      <c r="AD40" s="207"/>
      <c r="AE40" s="207"/>
      <c r="AF40" s="207"/>
      <c r="AG40" s="207"/>
      <c r="AH40" s="207"/>
      <c r="AI40" s="207"/>
      <c r="AJ40" s="207"/>
      <c r="AK40" s="207"/>
      <c r="AL40" s="207"/>
      <c r="AM40" s="207"/>
      <c r="AN40" s="207"/>
      <c r="AO40" s="208"/>
      <c r="AP40" s="194"/>
      <c r="AQ40" s="195"/>
      <c r="AR40" s="195"/>
      <c r="AS40" s="196"/>
      <c r="AT40" s="200"/>
      <c r="AU40" s="201"/>
      <c r="AV40" s="201"/>
      <c r="AW40" s="201"/>
      <c r="AX40" s="202"/>
    </row>
    <row r="41" spans="2:50" ht="15" customHeight="1">
      <c r="B41" s="99"/>
      <c r="C41" s="203" t="s">
        <v>4233</v>
      </c>
      <c r="D41" s="204"/>
      <c r="E41" s="204"/>
      <c r="F41" s="204"/>
      <c r="G41" s="204"/>
      <c r="H41" s="204"/>
      <c r="I41" s="204"/>
      <c r="J41" s="204"/>
      <c r="K41" s="204"/>
      <c r="L41" s="204"/>
      <c r="M41" s="204"/>
      <c r="N41" s="204"/>
      <c r="O41" s="204"/>
      <c r="P41" s="205"/>
      <c r="Q41" s="191" t="s">
        <v>4234</v>
      </c>
      <c r="R41" s="192"/>
      <c r="S41" s="192"/>
      <c r="T41" s="193"/>
      <c r="U41" s="197"/>
      <c r="V41" s="198"/>
      <c r="W41" s="198"/>
      <c r="X41" s="198"/>
      <c r="Y41" s="199"/>
    </row>
    <row r="42" spans="2:50" ht="15" customHeight="1">
      <c r="B42" s="99"/>
      <c r="C42" s="206"/>
      <c r="D42" s="207"/>
      <c r="E42" s="207"/>
      <c r="F42" s="207"/>
      <c r="G42" s="207"/>
      <c r="H42" s="207"/>
      <c r="I42" s="207"/>
      <c r="J42" s="207"/>
      <c r="K42" s="207"/>
      <c r="L42" s="207"/>
      <c r="M42" s="207"/>
      <c r="N42" s="207"/>
      <c r="O42" s="207"/>
      <c r="P42" s="208"/>
      <c r="Q42" s="194"/>
      <c r="R42" s="195"/>
      <c r="S42" s="195"/>
      <c r="T42" s="196"/>
      <c r="U42" s="200"/>
      <c r="V42" s="201"/>
      <c r="W42" s="201"/>
      <c r="X42" s="201"/>
      <c r="Y42" s="202"/>
    </row>
    <row r="43" spans="2:50" ht="15">
      <c r="B43" s="125"/>
      <c r="C43" s="126"/>
      <c r="D43" s="125"/>
      <c r="E43" s="125"/>
      <c r="F43" s="125"/>
      <c r="G43" s="125"/>
      <c r="H43" s="125"/>
      <c r="I43" s="125"/>
      <c r="J43" s="125"/>
      <c r="K43" s="125"/>
      <c r="L43" s="125"/>
      <c r="M43" s="125"/>
      <c r="N43" s="125"/>
      <c r="O43" s="125"/>
      <c r="P43" s="127"/>
      <c r="Q43" s="127"/>
      <c r="R43" s="127"/>
      <c r="S43" s="127"/>
      <c r="T43" s="128"/>
      <c r="U43" s="128"/>
      <c r="V43" s="128"/>
      <c r="W43" s="128"/>
      <c r="X43" s="128"/>
      <c r="Y43" s="99"/>
    </row>
    <row r="44" spans="2:50">
      <c r="B44" s="122" t="s">
        <v>4241</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AA44" s="122" t="s">
        <v>4249</v>
      </c>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row>
    <row r="45" spans="2:50">
      <c r="B45" s="99"/>
      <c r="C45" s="99"/>
      <c r="D45" s="99"/>
      <c r="E45" s="99"/>
      <c r="F45" s="99"/>
      <c r="G45" s="99"/>
      <c r="H45" s="99"/>
      <c r="I45" s="99"/>
      <c r="J45" s="99"/>
      <c r="K45" s="99"/>
      <c r="L45" s="99"/>
      <c r="M45" s="99"/>
      <c r="N45" s="99"/>
      <c r="O45" s="99"/>
      <c r="P45" s="99"/>
      <c r="Q45" s="99"/>
      <c r="R45" s="99"/>
      <c r="S45" s="99"/>
      <c r="T45" s="99"/>
      <c r="U45" s="99"/>
      <c r="V45" s="99"/>
      <c r="W45" s="99"/>
      <c r="X45" s="99"/>
      <c r="Y45" s="99"/>
      <c r="AA45" s="99"/>
      <c r="AB45" s="99"/>
      <c r="AC45" s="99"/>
      <c r="AD45" s="99"/>
      <c r="AE45" s="99"/>
      <c r="AF45" s="99"/>
      <c r="AG45" s="99"/>
      <c r="AH45" s="99"/>
      <c r="AI45" s="99"/>
      <c r="AJ45" s="99"/>
      <c r="AK45" s="99"/>
      <c r="AL45" s="99"/>
      <c r="AM45" s="99"/>
      <c r="AN45" s="99"/>
      <c r="AO45" s="99"/>
      <c r="AP45" s="99"/>
      <c r="AQ45" s="99"/>
      <c r="AR45" s="99"/>
      <c r="AS45" s="99"/>
      <c r="AT45" s="99"/>
      <c r="AU45" s="99"/>
      <c r="AV45" s="131"/>
      <c r="AW45" s="131"/>
      <c r="AX45" s="131"/>
    </row>
    <row r="46" spans="2:50" ht="45" customHeight="1">
      <c r="B46" s="99"/>
      <c r="C46" s="179" t="s">
        <v>4242</v>
      </c>
      <c r="D46" s="180"/>
      <c r="E46" s="180"/>
      <c r="F46" s="180"/>
      <c r="G46" s="180"/>
      <c r="H46" s="180"/>
      <c r="I46" s="180"/>
      <c r="J46" s="180"/>
      <c r="K46" s="180"/>
      <c r="L46" s="180"/>
      <c r="M46" s="180"/>
      <c r="N46" s="180"/>
      <c r="O46" s="180"/>
      <c r="P46" s="180"/>
      <c r="Q46" s="180"/>
      <c r="R46" s="180"/>
      <c r="S46" s="180"/>
      <c r="T46" s="180"/>
      <c r="U46" s="180"/>
      <c r="V46" s="180"/>
      <c r="W46" s="180"/>
      <c r="X46" s="180"/>
      <c r="Y46" s="181"/>
      <c r="AA46" s="99"/>
      <c r="AB46" s="179" t="s">
        <v>4250</v>
      </c>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1"/>
    </row>
    <row r="47" spans="2:50">
      <c r="B47" s="99"/>
      <c r="C47" s="182"/>
      <c r="D47" s="183"/>
      <c r="E47" s="183"/>
      <c r="F47" s="183"/>
      <c r="G47" s="183"/>
      <c r="H47" s="183"/>
      <c r="I47" s="183"/>
      <c r="J47" s="183"/>
      <c r="K47" s="183"/>
      <c r="L47" s="183"/>
      <c r="M47" s="183"/>
      <c r="N47" s="183"/>
      <c r="O47" s="183"/>
      <c r="P47" s="184"/>
      <c r="Q47" s="182" t="s">
        <v>4225</v>
      </c>
      <c r="R47" s="183"/>
      <c r="S47" s="183"/>
      <c r="T47" s="184"/>
      <c r="U47" s="182" t="s">
        <v>4226</v>
      </c>
      <c r="V47" s="183"/>
      <c r="W47" s="183"/>
      <c r="X47" s="183"/>
      <c r="Y47" s="184"/>
      <c r="AA47" s="99"/>
      <c r="AB47" s="182"/>
      <c r="AC47" s="183"/>
      <c r="AD47" s="183"/>
      <c r="AE47" s="183"/>
      <c r="AF47" s="183"/>
      <c r="AG47" s="183"/>
      <c r="AH47" s="183"/>
      <c r="AI47" s="183"/>
      <c r="AJ47" s="183"/>
      <c r="AK47" s="183"/>
      <c r="AL47" s="183"/>
      <c r="AM47" s="183"/>
      <c r="AN47" s="183"/>
      <c r="AO47" s="184"/>
      <c r="AP47" s="182" t="s">
        <v>4225</v>
      </c>
      <c r="AQ47" s="183"/>
      <c r="AR47" s="183"/>
      <c r="AS47" s="184"/>
      <c r="AT47" s="182" t="s">
        <v>4226</v>
      </c>
      <c r="AU47" s="183"/>
      <c r="AV47" s="183"/>
      <c r="AW47" s="183"/>
      <c r="AX47" s="184"/>
    </row>
    <row r="48" spans="2:50" ht="30" customHeight="1">
      <c r="B48" s="99"/>
      <c r="C48" s="173" t="s">
        <v>4243</v>
      </c>
      <c r="D48" s="174"/>
      <c r="E48" s="174"/>
      <c r="F48" s="174"/>
      <c r="G48" s="174"/>
      <c r="H48" s="174"/>
      <c r="I48" s="174"/>
      <c r="J48" s="174"/>
      <c r="K48" s="174"/>
      <c r="L48" s="174"/>
      <c r="M48" s="174"/>
      <c r="N48" s="174"/>
      <c r="O48" s="174"/>
      <c r="P48" s="175"/>
      <c r="Q48" s="173" t="s">
        <v>4228</v>
      </c>
      <c r="R48" s="174"/>
      <c r="S48" s="174"/>
      <c r="T48" s="175"/>
      <c r="U48" s="176" t="s">
        <v>4229</v>
      </c>
      <c r="V48" s="177"/>
      <c r="W48" s="177"/>
      <c r="X48" s="177"/>
      <c r="Y48" s="178"/>
      <c r="AA48" s="99"/>
      <c r="AB48" s="173" t="s">
        <v>4251</v>
      </c>
      <c r="AC48" s="174"/>
      <c r="AD48" s="174"/>
      <c r="AE48" s="174"/>
      <c r="AF48" s="174"/>
      <c r="AG48" s="174"/>
      <c r="AH48" s="174"/>
      <c r="AI48" s="174"/>
      <c r="AJ48" s="174"/>
      <c r="AK48" s="174"/>
      <c r="AL48" s="174"/>
      <c r="AM48" s="174"/>
      <c r="AN48" s="174"/>
      <c r="AO48" s="175"/>
      <c r="AP48" s="173" t="s">
        <v>4228</v>
      </c>
      <c r="AQ48" s="174"/>
      <c r="AR48" s="174"/>
      <c r="AS48" s="175"/>
      <c r="AT48" s="176" t="s">
        <v>4229</v>
      </c>
      <c r="AU48" s="177"/>
      <c r="AV48" s="177"/>
      <c r="AW48" s="177"/>
      <c r="AX48" s="178"/>
    </row>
    <row r="49" spans="2:50" ht="30" customHeight="1">
      <c r="B49" s="99"/>
      <c r="C49" s="173" t="s">
        <v>4244</v>
      </c>
      <c r="D49" s="174"/>
      <c r="E49" s="174"/>
      <c r="F49" s="174"/>
      <c r="G49" s="174"/>
      <c r="H49" s="174"/>
      <c r="I49" s="174"/>
      <c r="J49" s="174"/>
      <c r="K49" s="174"/>
      <c r="L49" s="174"/>
      <c r="M49" s="174"/>
      <c r="N49" s="174"/>
      <c r="O49" s="174"/>
      <c r="P49" s="175"/>
      <c r="Q49" s="173" t="s">
        <v>4228</v>
      </c>
      <c r="R49" s="174"/>
      <c r="S49" s="174"/>
      <c r="T49" s="175"/>
      <c r="U49" s="176" t="s">
        <v>4229</v>
      </c>
      <c r="V49" s="177"/>
      <c r="W49" s="177"/>
      <c r="X49" s="177"/>
      <c r="Y49" s="178"/>
      <c r="AA49" s="99"/>
      <c r="AB49" s="173" t="s">
        <v>4252</v>
      </c>
      <c r="AC49" s="174"/>
      <c r="AD49" s="174"/>
      <c r="AE49" s="174"/>
      <c r="AF49" s="174"/>
      <c r="AG49" s="174"/>
      <c r="AH49" s="174"/>
      <c r="AI49" s="174"/>
      <c r="AJ49" s="174"/>
      <c r="AK49" s="174"/>
      <c r="AL49" s="174"/>
      <c r="AM49" s="174"/>
      <c r="AN49" s="174"/>
      <c r="AO49" s="175"/>
      <c r="AP49" s="173" t="s">
        <v>4253</v>
      </c>
      <c r="AQ49" s="174"/>
      <c r="AR49" s="174"/>
      <c r="AS49" s="175"/>
      <c r="AT49" s="176"/>
      <c r="AU49" s="177"/>
      <c r="AV49" s="177"/>
      <c r="AW49" s="177"/>
      <c r="AX49" s="178"/>
    </row>
    <row r="50" spans="2:50" ht="30" customHeight="1">
      <c r="B50" s="99"/>
      <c r="C50" s="173" t="s">
        <v>4245</v>
      </c>
      <c r="D50" s="174"/>
      <c r="E50" s="174"/>
      <c r="F50" s="174"/>
      <c r="G50" s="174"/>
      <c r="H50" s="174"/>
      <c r="I50" s="174"/>
      <c r="J50" s="174"/>
      <c r="K50" s="174"/>
      <c r="L50" s="174"/>
      <c r="M50" s="174"/>
      <c r="N50" s="174"/>
      <c r="O50" s="174"/>
      <c r="P50" s="175"/>
      <c r="Q50" s="173" t="s">
        <v>4228</v>
      </c>
      <c r="R50" s="174"/>
      <c r="S50" s="174"/>
      <c r="T50" s="175"/>
      <c r="U50" s="176" t="s">
        <v>4229</v>
      </c>
      <c r="V50" s="177"/>
      <c r="W50" s="177"/>
      <c r="X50" s="177"/>
      <c r="Y50" s="178"/>
    </row>
    <row r="51" spans="2:50" ht="30" customHeight="1">
      <c r="B51" s="99"/>
      <c r="C51" s="173" t="s">
        <v>4246</v>
      </c>
      <c r="D51" s="174"/>
      <c r="E51" s="174"/>
      <c r="F51" s="174"/>
      <c r="G51" s="174"/>
      <c r="H51" s="174"/>
      <c r="I51" s="174"/>
      <c r="J51" s="174"/>
      <c r="K51" s="174"/>
      <c r="L51" s="174"/>
      <c r="M51" s="174"/>
      <c r="N51" s="174"/>
      <c r="O51" s="174"/>
      <c r="P51" s="175"/>
      <c r="Q51" s="173" t="s">
        <v>4228</v>
      </c>
      <c r="R51" s="174"/>
      <c r="S51" s="174"/>
      <c r="T51" s="175"/>
      <c r="U51" s="176" t="s">
        <v>4229</v>
      </c>
      <c r="V51" s="177"/>
      <c r="W51" s="177"/>
      <c r="X51" s="177"/>
      <c r="Y51" s="178"/>
    </row>
    <row r="52" spans="2:50" ht="30" customHeight="1">
      <c r="B52" s="99"/>
      <c r="C52" s="173" t="s">
        <v>4247</v>
      </c>
      <c r="D52" s="174"/>
      <c r="E52" s="174"/>
      <c r="F52" s="174"/>
      <c r="G52" s="174"/>
      <c r="H52" s="174"/>
      <c r="I52" s="174"/>
      <c r="J52" s="174"/>
      <c r="K52" s="174"/>
      <c r="L52" s="174"/>
      <c r="M52" s="174"/>
      <c r="N52" s="174"/>
      <c r="O52" s="174"/>
      <c r="P52" s="175"/>
      <c r="Q52" s="173" t="s">
        <v>4248</v>
      </c>
      <c r="R52" s="174"/>
      <c r="S52" s="174"/>
      <c r="T52" s="175"/>
      <c r="U52" s="176"/>
      <c r="V52" s="177"/>
      <c r="W52" s="177"/>
      <c r="X52" s="177"/>
      <c r="Y52" s="178"/>
      <c r="AA52" s="132" t="s">
        <v>4254</v>
      </c>
    </row>
  </sheetData>
  <sheetProtection password="CE4F" sheet="1" objects="1" scenarios="1"/>
  <mergeCells count="98">
    <mergeCell ref="C23:P23"/>
    <mergeCell ref="Q23:T23"/>
    <mergeCell ref="U23:Y23"/>
    <mergeCell ref="C24:P24"/>
    <mergeCell ref="Q24:T24"/>
    <mergeCell ref="U24:Y24"/>
    <mergeCell ref="C47:P47"/>
    <mergeCell ref="Q47:T47"/>
    <mergeCell ref="U47:Y47"/>
    <mergeCell ref="C46:Y46"/>
    <mergeCell ref="C38:P38"/>
    <mergeCell ref="Q38:T38"/>
    <mergeCell ref="U38:Y38"/>
    <mergeCell ref="C41:P42"/>
    <mergeCell ref="Q41:T42"/>
    <mergeCell ref="U41:Y42"/>
    <mergeCell ref="C51:P51"/>
    <mergeCell ref="Q51:T51"/>
    <mergeCell ref="U51:Y51"/>
    <mergeCell ref="C52:P52"/>
    <mergeCell ref="Q52:T52"/>
    <mergeCell ref="U52:Y52"/>
    <mergeCell ref="C48:P48"/>
    <mergeCell ref="Q48:T48"/>
    <mergeCell ref="U48:Y48"/>
    <mergeCell ref="C49:P49"/>
    <mergeCell ref="Q49:T49"/>
    <mergeCell ref="U49:Y49"/>
    <mergeCell ref="C21:Y21"/>
    <mergeCell ref="AB21:AX21"/>
    <mergeCell ref="C22:P22"/>
    <mergeCell ref="Q22:T22"/>
    <mergeCell ref="U22:Y22"/>
    <mergeCell ref="AB22:AO22"/>
    <mergeCell ref="AP22:AS22"/>
    <mergeCell ref="AT22:AX22"/>
    <mergeCell ref="AB23:AO23"/>
    <mergeCell ref="AP23:AS23"/>
    <mergeCell ref="AT23:AX23"/>
    <mergeCell ref="AB24:AO24"/>
    <mergeCell ref="AP24:AS24"/>
    <mergeCell ref="AT24:AX24"/>
    <mergeCell ref="AB28:AX28"/>
    <mergeCell ref="C29:P29"/>
    <mergeCell ref="Q29:T29"/>
    <mergeCell ref="U29:Y29"/>
    <mergeCell ref="AB29:AO29"/>
    <mergeCell ref="AP29:AS29"/>
    <mergeCell ref="AT29:AX29"/>
    <mergeCell ref="C28:Y28"/>
    <mergeCell ref="AB30:AO30"/>
    <mergeCell ref="AP30:AS30"/>
    <mergeCell ref="AT30:AX30"/>
    <mergeCell ref="C31:P31"/>
    <mergeCell ref="Q31:T31"/>
    <mergeCell ref="U31:Y31"/>
    <mergeCell ref="AB31:AO31"/>
    <mergeCell ref="AP31:AS31"/>
    <mergeCell ref="AT31:AX31"/>
    <mergeCell ref="C30:P30"/>
    <mergeCell ref="Q30:T30"/>
    <mergeCell ref="U30:Y30"/>
    <mergeCell ref="AB35:AX35"/>
    <mergeCell ref="AB36:AO36"/>
    <mergeCell ref="AP36:AS36"/>
    <mergeCell ref="AT36:AX36"/>
    <mergeCell ref="C37:P37"/>
    <mergeCell ref="Q37:T37"/>
    <mergeCell ref="U37:Y37"/>
    <mergeCell ref="AB37:AO37"/>
    <mergeCell ref="AP37:AS37"/>
    <mergeCell ref="AT37:AX37"/>
    <mergeCell ref="C36:P36"/>
    <mergeCell ref="Q36:T36"/>
    <mergeCell ref="U36:Y36"/>
    <mergeCell ref="C35:Y35"/>
    <mergeCell ref="AB38:AO38"/>
    <mergeCell ref="AP38:AS38"/>
    <mergeCell ref="AT38:AX38"/>
    <mergeCell ref="C39:P40"/>
    <mergeCell ref="Q39:T40"/>
    <mergeCell ref="U39:Y40"/>
    <mergeCell ref="AB39:AO40"/>
    <mergeCell ref="AP39:AS40"/>
    <mergeCell ref="AT39:AX40"/>
    <mergeCell ref="AB46:AX46"/>
    <mergeCell ref="AB47:AO47"/>
    <mergeCell ref="AP47:AS47"/>
    <mergeCell ref="AT47:AX47"/>
    <mergeCell ref="AB48:AO48"/>
    <mergeCell ref="AP48:AS48"/>
    <mergeCell ref="AT48:AX48"/>
    <mergeCell ref="AB49:AO49"/>
    <mergeCell ref="AP49:AS49"/>
    <mergeCell ref="AT49:AX49"/>
    <mergeCell ref="C50:P50"/>
    <mergeCell ref="Q50:T50"/>
    <mergeCell ref="U50:Y50"/>
  </mergeCells>
  <hyperlinks>
    <hyperlink ref="U37:Y37" r:id="rId1" display="Download"/>
    <hyperlink ref="U38:Y38" r:id="rId2" display="Download"/>
    <hyperlink ref="AT37:AX37" r:id="rId3" display="Download"/>
    <hyperlink ref="AT38:AX38" r:id="rId4" display="Download"/>
    <hyperlink ref="AT48:AX48" r:id="rId5" display="Download"/>
    <hyperlink ref="U48:Y48" r:id="rId6" display="Download"/>
    <hyperlink ref="U49:Y49" r:id="rId7" display="Download"/>
    <hyperlink ref="U50:Y50" r:id="rId8" display="Download"/>
    <hyperlink ref="U51:Y51" r:id="rId9" display="Download"/>
    <hyperlink ref="U23:Y23" r:id="rId10" display="Download"/>
    <hyperlink ref="U30:Y30" r:id="rId11" display="Download"/>
    <hyperlink ref="AT23:AX23" r:id="rId12" display="Download"/>
    <hyperlink ref="AT30:AX30" r:id="rId13" display="Download"/>
  </hyperlinks>
  <pageMargins left="0.7" right="0.7" top="0.75" bottom="0.75" header="0.3" footer="0.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12</vt:i4>
      </vt:variant>
    </vt:vector>
  </HeadingPairs>
  <TitlesOfParts>
    <vt:vector size="18" baseType="lpstr">
      <vt:lpstr>Tournament</vt:lpstr>
      <vt:lpstr>Countries and Timezone</vt:lpstr>
      <vt:lpstr>Dummy Table</vt:lpstr>
      <vt:lpstr>Language</vt:lpstr>
      <vt:lpstr>EULA</vt:lpstr>
      <vt:lpstr>About</vt:lpstr>
      <vt:lpstr>Cities</vt:lpstr>
      <vt:lpstr>Countries</vt:lpstr>
      <vt:lpstr>GroupA</vt:lpstr>
      <vt:lpstr>GroupB</vt:lpstr>
      <vt:lpstr>GroupC</vt:lpstr>
      <vt:lpstr>GroupD</vt:lpstr>
      <vt:lpstr>GroupE</vt:lpstr>
      <vt:lpstr>GroupF</vt:lpstr>
      <vt:lpstr>GroupG</vt:lpstr>
      <vt:lpstr>GroupH</vt:lpstr>
      <vt:lpstr>Tournament!Nyomtatási_terület</vt:lpstr>
      <vt:lpstr>Team</vt:lpstr>
    </vt:vector>
  </TitlesOfParts>
  <Company>Exceltemplate.net</Company>
  <LinksUpToDate>false</LinksUpToDate>
  <SharedDoc>false</SharedDoc>
  <HyperlinkBase>http://exceltemplate.net/</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World Cup 2014 Schedule and Scoresheet</dc:title>
  <dc:creator>R. Musadya</dc:creator>
  <cp:keywords>world cup 2014, world cup 2014 schedule, world cup 2014 spreadsheet</cp:keywords>
  <cp:lastModifiedBy>Attila</cp:lastModifiedBy>
  <cp:lastPrinted>2010-01-31T06:52:39Z</cp:lastPrinted>
  <dcterms:created xsi:type="dcterms:W3CDTF">2008-04-13T01:23:18Z</dcterms:created>
  <dcterms:modified xsi:type="dcterms:W3CDTF">2014-06-27T04:20:06Z</dcterms:modified>
  <cp:category>Sport Spreadsheet</cp:category>
</cp:coreProperties>
</file>