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4" windowHeight="8192" activeTab="0"/>
  </bookViews>
  <sheets>
    <sheet name="South Africa 2010" sheetId="1" r:id="rId1"/>
    <sheet name="T" sheetId="2" state="hidden" r:id="rId2"/>
  </sheets>
  <definedNames>
    <definedName name="_xlnm.Print_Area" localSheetId="0">'South Africa 2010'!$A$1:$P$88</definedName>
    <definedName name="GMT">'South Africa 2010'!$BJ$6</definedName>
    <definedName name="GMT_MIN">'South Africa 2010'!$BN$6</definedName>
    <definedName name="language">'South Africa 2010'!$BL$6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<sst xmlns="http://schemas.openxmlformats.org/spreadsheetml/2006/main" count="175" uniqueCount="163">
  <si>
    <t>INSERT TEAMS AS DRAWN BELOW</t>
  </si>
  <si>
    <t>TRY THE FOOTBALL MANAGER 2010 DEMO  HERE - FOR FREE!</t>
  </si>
  <si>
    <r>
      <t>"King of the Sims" -</t>
    </r>
    <r>
      <rPr>
        <sz val="11"/>
        <color indexed="10"/>
        <rFont val="Tahoma"/>
        <family val="2"/>
      </rPr>
      <t xml:space="preserve"> Daily Mirror</t>
    </r>
    <r>
      <rPr>
        <sz val="11"/>
        <color indexed="30"/>
        <rFont val="Tahoma"/>
        <family val="2"/>
      </rPr>
      <t xml:space="preserve">...9/10 </t>
    </r>
    <r>
      <rPr>
        <sz val="11"/>
        <color indexed="10"/>
        <rFont val="Tahoma"/>
        <family val="2"/>
      </rPr>
      <t>Eurogamer</t>
    </r>
    <r>
      <rPr>
        <sz val="11"/>
        <color indexed="30"/>
        <rFont val="Tahoma"/>
        <family val="2"/>
      </rPr>
      <t>...
"The Best Football Management Sim Around" -</t>
    </r>
    <r>
      <rPr>
        <sz val="11"/>
        <color indexed="10"/>
        <rFont val="Tahoma"/>
        <family val="2"/>
      </rPr>
      <t xml:space="preserve"> The Times</t>
    </r>
    <r>
      <rPr>
        <sz val="11"/>
        <color indexed="30"/>
        <rFont val="Tahoma"/>
        <family val="2"/>
      </rPr>
      <t xml:space="preserve">...5/5 </t>
    </r>
    <r>
      <rPr>
        <sz val="11"/>
        <color indexed="10"/>
        <rFont val="Tahoma"/>
        <family val="2"/>
      </rPr>
      <t>The Independent</t>
    </r>
    <r>
      <rPr>
        <sz val="11"/>
        <color indexed="30"/>
        <rFont val="Tahoma"/>
        <family val="2"/>
      </rPr>
      <t xml:space="preserve">...
5/5 </t>
    </r>
    <r>
      <rPr>
        <sz val="11"/>
        <color indexed="10"/>
        <rFont val="Tahoma"/>
        <family val="2"/>
      </rPr>
      <t>Nuts</t>
    </r>
    <r>
      <rPr>
        <sz val="11"/>
        <color indexed="30"/>
        <rFont val="Tahoma"/>
        <family val="2"/>
      </rPr>
      <t xml:space="preserve">...90% </t>
    </r>
    <r>
      <rPr>
        <sz val="11"/>
        <color indexed="10"/>
        <rFont val="Tahoma"/>
        <family val="2"/>
      </rPr>
      <t>PC Gamer</t>
    </r>
    <r>
      <rPr>
        <sz val="11"/>
        <color indexed="30"/>
        <rFont val="Tahoma"/>
        <family val="2"/>
      </rPr>
      <t xml:space="preserve">...9.3/10 </t>
    </r>
    <r>
      <rPr>
        <sz val="11"/>
        <color indexed="10"/>
        <rFont val="Tahoma"/>
        <family val="2"/>
      </rPr>
      <t>IGN</t>
    </r>
  </si>
  <si>
    <t>Rank</t>
  </si>
  <si>
    <t>Rank Final</t>
  </si>
  <si>
    <t>Rank MIN</t>
  </si>
  <si>
    <t>Place</t>
  </si>
  <si>
    <t>Win</t>
  </si>
  <si>
    <t>Draw</t>
  </si>
  <si>
    <t>Lose</t>
  </si>
  <si>
    <t>F</t>
  </si>
  <si>
    <t>A</t>
  </si>
  <si>
    <t>Pnt</t>
  </si>
  <si>
    <t>R</t>
  </si>
  <si>
    <t>GMT + 2:00</t>
  </si>
  <si>
    <t>English</t>
  </si>
  <si>
    <t>+0 Min</t>
  </si>
  <si>
    <t>Dél-Afrika</t>
  </si>
  <si>
    <t>GMT - 11:00</t>
  </si>
  <si>
    <t>Mexikó</t>
  </si>
  <si>
    <t>GMT - 10:00</t>
  </si>
  <si>
    <t>German</t>
  </si>
  <si>
    <t>+15 Min</t>
  </si>
  <si>
    <t>Uruguay</t>
  </si>
  <si>
    <t>GMT - 9:00</t>
  </si>
  <si>
    <t>French</t>
  </si>
  <si>
    <t>+30 Min</t>
  </si>
  <si>
    <t>Franciaország</t>
  </si>
  <si>
    <t>GMT - 8:00</t>
  </si>
  <si>
    <t>Spanish</t>
  </si>
  <si>
    <t>+45 Min</t>
  </si>
  <si>
    <t>GMT - 7:00</t>
  </si>
  <si>
    <t>Italian</t>
  </si>
  <si>
    <t>GMT - 6:00</t>
  </si>
  <si>
    <t>Portuguese</t>
  </si>
  <si>
    <t>GMT - 5:00</t>
  </si>
  <si>
    <t>Dutch</t>
  </si>
  <si>
    <t>Argentina</t>
  </si>
  <si>
    <t>GMT - 4:00</t>
  </si>
  <si>
    <t>Norwegian</t>
  </si>
  <si>
    <t>Nigéria</t>
  </si>
  <si>
    <t>GMT - 3:00</t>
  </si>
  <si>
    <t>Swiss</t>
  </si>
  <si>
    <t>Koreai Köztársaság</t>
  </si>
  <si>
    <t>GMT - 2:00</t>
  </si>
  <si>
    <t>Swedish</t>
  </si>
  <si>
    <t>Görögország</t>
  </si>
  <si>
    <t>GMT - 1:00</t>
  </si>
  <si>
    <t>Luxembourgish</t>
  </si>
  <si>
    <t>GMT</t>
  </si>
  <si>
    <t>Danish</t>
  </si>
  <si>
    <t>GMT + 1:00</t>
  </si>
  <si>
    <t>Greek</t>
  </si>
  <si>
    <t>Polish</t>
  </si>
  <si>
    <t>Anglia</t>
  </si>
  <si>
    <t>GMT + 3:00</t>
  </si>
  <si>
    <t>Bulgarian</t>
  </si>
  <si>
    <t>USA</t>
  </si>
  <si>
    <t>GMT + 4:00</t>
  </si>
  <si>
    <t>Hungarian</t>
  </si>
  <si>
    <t>Algéria</t>
  </si>
  <si>
    <t>GMT + 5:00</t>
  </si>
  <si>
    <t>Croatian</t>
  </si>
  <si>
    <t>Szlovénia</t>
  </si>
  <si>
    <t>GMT + 6:00</t>
  </si>
  <si>
    <t>Serbian</t>
  </si>
  <si>
    <t>GMT + 7:00</t>
  </si>
  <si>
    <t>Czech</t>
  </si>
  <si>
    <t>GMT + 8:00</t>
  </si>
  <si>
    <t>Slovak</t>
  </si>
  <si>
    <t>GMT + 9:00</t>
  </si>
  <si>
    <t>Slovenian</t>
  </si>
  <si>
    <t>Németország</t>
  </si>
  <si>
    <t>GMT + 10:00</t>
  </si>
  <si>
    <t>Romanian</t>
  </si>
  <si>
    <t>Ausztrália</t>
  </si>
  <si>
    <t>GMT + 11:00</t>
  </si>
  <si>
    <t>Albanian</t>
  </si>
  <si>
    <t>Szerbia</t>
  </si>
  <si>
    <t>GMT + 12:00</t>
  </si>
  <si>
    <t>Bosnian</t>
  </si>
  <si>
    <t>Ghána</t>
  </si>
  <si>
    <t>Russian</t>
  </si>
  <si>
    <t>Ukrainian</t>
  </si>
  <si>
    <t>Turkish</t>
  </si>
  <si>
    <t>Azerbaijani</t>
  </si>
  <si>
    <t>Hollandia</t>
  </si>
  <si>
    <t>Vietnamese</t>
  </si>
  <si>
    <t>Dánia</t>
  </si>
  <si>
    <t>Indonesian</t>
  </si>
  <si>
    <t>Japán</t>
  </si>
  <si>
    <t>Kiswahili</t>
  </si>
  <si>
    <t>Kamerun</t>
  </si>
  <si>
    <t>Mongolian</t>
  </si>
  <si>
    <t>Thai</t>
  </si>
  <si>
    <t>Divehi</t>
  </si>
  <si>
    <t>Tamil</t>
  </si>
  <si>
    <t>Olaszország</t>
  </si>
  <si>
    <t>Hebrew</t>
  </si>
  <si>
    <t>Paraguay</t>
  </si>
  <si>
    <t>Arabic</t>
  </si>
  <si>
    <t>Új-Zéleand</t>
  </si>
  <si>
    <t xml:space="preserve">Farsi </t>
  </si>
  <si>
    <t>Szlovákia</t>
  </si>
  <si>
    <t>Kurdish</t>
  </si>
  <si>
    <t>Urdu</t>
  </si>
  <si>
    <t>Trad. Chinese</t>
  </si>
  <si>
    <t>Simp. Chinese</t>
  </si>
  <si>
    <t>Elefántcsontpart</t>
  </si>
  <si>
    <t>Japanese</t>
  </si>
  <si>
    <t>Portugália</t>
  </si>
  <si>
    <t>Korean</t>
  </si>
  <si>
    <t>Brazília</t>
  </si>
  <si>
    <t>Észak-Korea</t>
  </si>
  <si>
    <t>Honduras</t>
  </si>
  <si>
    <t>Chile</t>
  </si>
  <si>
    <t>Spanyolország</t>
  </si>
  <si>
    <t>Svájc</t>
  </si>
  <si>
    <t>Winner</t>
  </si>
  <si>
    <t>W</t>
  </si>
  <si>
    <t>D</t>
  </si>
  <si>
    <t>L</t>
  </si>
  <si>
    <t>F - A</t>
  </si>
  <si>
    <t>Group</t>
  </si>
  <si>
    <t>First Round</t>
  </si>
  <si>
    <t>Second Round</t>
  </si>
  <si>
    <t>Quarter Finals</t>
  </si>
  <si>
    <t>Semi Finals</t>
  </si>
  <si>
    <t>Third Place Play-Off</t>
  </si>
  <si>
    <t>Final</t>
  </si>
  <si>
    <t>World Champion 2006</t>
  </si>
  <si>
    <t>Group A Winner</t>
  </si>
  <si>
    <t>Group A Second place</t>
  </si>
  <si>
    <t>Group B Winner</t>
  </si>
  <si>
    <t>Group B Second place</t>
  </si>
  <si>
    <t>Group C Winner</t>
  </si>
  <si>
    <t>Group C Second place</t>
  </si>
  <si>
    <t>Group D Winner</t>
  </si>
  <si>
    <t>Group D Second place</t>
  </si>
  <si>
    <t>Group E Winner</t>
  </si>
  <si>
    <t>Group E Second place</t>
  </si>
  <si>
    <t>Group F Winner</t>
  </si>
  <si>
    <t>Group F Second place</t>
  </si>
  <si>
    <t>Group G Winner</t>
  </si>
  <si>
    <t>Group G Second place</t>
  </si>
  <si>
    <t>Group H Winner</t>
  </si>
  <si>
    <t>Group H Second place</t>
  </si>
  <si>
    <t>Second Round 1 Winner</t>
  </si>
  <si>
    <t>Second Round 2 Winner</t>
  </si>
  <si>
    <t>Second Round 3 Winner</t>
  </si>
  <si>
    <t>Second Round 4 Winner</t>
  </si>
  <si>
    <t>Second Round 5 Winner</t>
  </si>
  <si>
    <t>Second Round 6 Winner</t>
  </si>
  <si>
    <t>Second Round 7 Winner</t>
  </si>
  <si>
    <t>Second Round 8 Winner</t>
  </si>
  <si>
    <t>Quarter Final 1 Winner</t>
  </si>
  <si>
    <t>Quarter Final 2 Winner</t>
  </si>
  <si>
    <t>Quarter Final 3 Winner</t>
  </si>
  <si>
    <t>Quarter Final 4 Winner</t>
  </si>
  <si>
    <t>Semi Final 1 Winner</t>
  </si>
  <si>
    <t>Semi Final 2 Winner</t>
  </si>
  <si>
    <t>Semi Final 1 Loser</t>
  </si>
  <si>
    <t>Semi Final 2 Loser</t>
  </si>
</sst>
</file>

<file path=xl/styles.xml><?xml version="1.0" encoding="utf-8"?>
<styleSheet xmlns="http://schemas.openxmlformats.org/spreadsheetml/2006/main">
  <numFmts count="3">
    <numFmt numFmtId="164" formatCode="D\-MMM;@"/>
    <numFmt numFmtId="165" formatCode="H:MM;@"/>
    <numFmt numFmtId="166" formatCode="GENERAL"/>
  </numFmts>
  <fonts count="33">
    <font>
      <sz val="8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Calibri"/>
      <family val="2"/>
    </font>
    <font>
      <b/>
      <sz val="28"/>
      <color indexed="56"/>
      <name val="Calibri"/>
      <family val="2"/>
    </font>
    <font>
      <u val="single"/>
      <sz val="8"/>
      <color indexed="12"/>
      <name val="Arial Cyr"/>
      <family val="2"/>
    </font>
    <font>
      <sz val="8"/>
      <color indexed="55"/>
      <name val="Tahoma"/>
      <family val="2"/>
    </font>
    <font>
      <sz val="9"/>
      <name val="Tahoma"/>
      <family val="2"/>
    </font>
    <font>
      <b/>
      <sz val="12"/>
      <color indexed="12"/>
      <name val="Tahoma"/>
      <family val="2"/>
    </font>
    <font>
      <b/>
      <u val="single"/>
      <sz val="10"/>
      <color indexed="10"/>
      <name val="Arial Cyr"/>
      <family val="2"/>
    </font>
    <font>
      <sz val="9"/>
      <color indexed="9"/>
      <name val="Tahoma"/>
      <family val="2"/>
    </font>
    <font>
      <sz val="11"/>
      <color indexed="30"/>
      <name val="Tahoma"/>
      <family val="2"/>
    </font>
    <font>
      <sz val="11"/>
      <color indexed="10"/>
      <name val="Tahoma"/>
      <family val="2"/>
    </font>
    <font>
      <sz val="11"/>
      <color indexed="9"/>
      <name val="Calibri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ＭＳ Ｐゴシック"/>
      <family val="3"/>
    </font>
    <font>
      <sz val="8"/>
      <name val="돋움"/>
      <family val="3"/>
    </font>
    <font>
      <sz val="9"/>
      <name val="SimSun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</font>
    <font>
      <sz val="8"/>
      <color indexed="8"/>
      <name val="돋움"/>
      <family val="3"/>
    </font>
    <font>
      <sz val="9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ck">
        <color indexed="59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Fill="0" applyBorder="0" applyAlignment="0" applyProtection="0"/>
    <xf numFmtId="164" fontId="7" fillId="0" borderId="1" applyFill="0" applyAlignment="0" applyProtection="0"/>
    <xf numFmtId="164" fontId="17" fillId="2" borderId="0" applyBorder="0" applyAlignment="0" applyProtection="0"/>
  </cellStyleXfs>
  <cellXfs count="86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166" fontId="2" fillId="0" borderId="0" xfId="0" applyNumberFormat="1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left" vertical="center" shrinkToFit="1"/>
      <protection hidden="1"/>
    </xf>
    <xf numFmtId="164" fontId="2" fillId="0" borderId="0" xfId="0" applyFont="1" applyAlignment="1" applyProtection="1">
      <alignment vertical="center"/>
      <protection hidden="1"/>
    </xf>
    <xf numFmtId="166" fontId="2" fillId="0" borderId="0" xfId="0" applyNumberFormat="1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 locked="0"/>
    </xf>
    <xf numFmtId="164" fontId="3" fillId="3" borderId="0" xfId="0" applyFont="1" applyFill="1" applyAlignment="1" applyProtection="1">
      <alignment horizontal="center" vertical="center"/>
      <protection hidden="1"/>
    </xf>
    <xf numFmtId="164" fontId="4" fillId="3" borderId="0" xfId="0" applyFont="1" applyFill="1" applyAlignment="1" applyProtection="1">
      <alignment vertical="center"/>
      <protection hidden="1"/>
    </xf>
    <xf numFmtId="164" fontId="4" fillId="3" borderId="0" xfId="0" applyFont="1" applyFill="1" applyAlignment="1" applyProtection="1">
      <alignment horizontal="center" vertical="center"/>
      <protection hidden="1"/>
    </xf>
    <xf numFmtId="164" fontId="2" fillId="3" borderId="0" xfId="0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 shrinkToFit="1"/>
      <protection hidden="1"/>
    </xf>
    <xf numFmtId="166" fontId="5" fillId="0" borderId="0" xfId="0" applyNumberFormat="1" applyFont="1" applyFill="1" applyBorder="1" applyAlignment="1" applyProtection="1">
      <alignment vertical="center" shrinkToFit="1"/>
      <protection hidden="1"/>
    </xf>
    <xf numFmtId="166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6" fillId="4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21" applyNumberFormat="1" applyFont="1" applyFill="1" applyBorder="1" applyAlignment="1" applyProtection="1">
      <alignment vertical="center" shrinkToFit="1"/>
      <protection hidden="1"/>
    </xf>
    <xf numFmtId="164" fontId="8" fillId="0" borderId="0" xfId="21" applyNumberFormat="1" applyFont="1" applyFill="1" applyBorder="1" applyAlignment="1" applyProtection="1">
      <alignment horizontal="center" vertical="center" shrinkToFit="1"/>
      <protection hidden="1"/>
    </xf>
    <xf numFmtId="164" fontId="10" fillId="0" borderId="0" xfId="20" applyNumberFormat="1" applyFont="1" applyFill="1" applyBorder="1" applyAlignment="1" applyProtection="1">
      <alignment horizontal="left"/>
      <protection hidden="1"/>
    </xf>
    <xf numFmtId="164" fontId="11" fillId="0" borderId="0" xfId="20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20" applyNumberFormat="1" applyFont="1" applyFill="1" applyBorder="1" applyAlignment="1" applyProtection="1">
      <alignment horizontal="center" vertical="center" shrinkToFit="1"/>
      <protection hidden="1"/>
    </xf>
    <xf numFmtId="166" fontId="12" fillId="0" borderId="0" xfId="20" applyNumberFormat="1" applyFont="1" applyFill="1" applyBorder="1" applyAlignment="1" applyProtection="1">
      <alignment vertical="center" wrapText="1"/>
      <protection hidden="1"/>
    </xf>
    <xf numFmtId="164" fontId="13" fillId="5" borderId="0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20" applyNumberFormat="1" applyFont="1" applyFill="1" applyBorder="1" applyAlignment="1" applyProtection="1">
      <alignment/>
      <protection hidden="1" locked="0"/>
    </xf>
    <xf numFmtId="164" fontId="14" fillId="3" borderId="0" xfId="20" applyNumberFormat="1" applyFont="1" applyFill="1" applyBorder="1" applyAlignment="1" applyProtection="1">
      <alignment horizontal="center" vertical="center" wrapText="1"/>
      <protection hidden="1"/>
    </xf>
    <xf numFmtId="166" fontId="2" fillId="0" borderId="0" xfId="0" applyNumberFormat="1" applyFont="1" applyAlignment="1" applyProtection="1">
      <alignment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 locked="0"/>
    </xf>
    <xf numFmtId="164" fontId="17" fillId="2" borderId="2" xfId="22" applyNumberFormat="1" applyBorder="1" applyAlignment="1" applyProtection="1">
      <alignment horizontal="center" vertical="center"/>
      <protection hidden="1"/>
    </xf>
    <xf numFmtId="166" fontId="17" fillId="2" borderId="3" xfId="22" applyNumberFormat="1" applyBorder="1" applyAlignment="1" applyProtection="1">
      <alignment horizontal="center" vertical="center" shrinkToFit="1"/>
      <protection hidden="1"/>
    </xf>
    <xf numFmtId="166" fontId="17" fillId="2" borderId="4" xfId="22" applyNumberFormat="1" applyBorder="1" applyAlignment="1" applyProtection="1">
      <alignment horizontal="center" vertical="center" shrinkToFit="1"/>
      <protection hidden="1"/>
    </xf>
    <xf numFmtId="166" fontId="17" fillId="2" borderId="5" xfId="22" applyNumberFormat="1" applyFont="1" applyBorder="1" applyAlignment="1" applyProtection="1">
      <alignment horizontal="center" vertical="center" shrinkToFit="1"/>
      <protection hidden="1"/>
    </xf>
    <xf numFmtId="164" fontId="3" fillId="3" borderId="0" xfId="0" applyFont="1" applyFill="1" applyBorder="1" applyAlignment="1" applyProtection="1">
      <alignment horizontal="center" vertical="center" wrapText="1"/>
      <protection hidden="1"/>
    </xf>
    <xf numFmtId="164" fontId="4" fillId="3" borderId="0" xfId="0" applyFont="1" applyFill="1" applyAlignment="1" applyProtection="1">
      <alignment vertical="center"/>
      <protection hidden="1" locked="0"/>
    </xf>
    <xf numFmtId="164" fontId="2" fillId="0" borderId="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Border="1" applyAlignment="1" applyProtection="1">
      <alignment horizontal="center" vertical="center" shrinkToFit="1"/>
      <protection hidden="1"/>
    </xf>
    <xf numFmtId="164" fontId="18" fillId="0" borderId="0" xfId="0" applyFont="1" applyFill="1" applyBorder="1" applyAlignment="1" applyProtection="1">
      <alignment horizontal="right" vertical="center" shrinkToFit="1"/>
      <protection hidden="1"/>
    </xf>
    <xf numFmtId="166" fontId="19" fillId="0" borderId="6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166" fontId="2" fillId="0" borderId="7" xfId="0" applyNumberFormat="1" applyFont="1" applyBorder="1" applyAlignment="1" applyProtection="1">
      <alignment vertical="center" shrinkToFit="1"/>
      <protection hidden="1"/>
    </xf>
    <xf numFmtId="166" fontId="2" fillId="0" borderId="8" xfId="0" applyNumberFormat="1" applyFont="1" applyBorder="1" applyAlignment="1" applyProtection="1">
      <alignment horizontal="center" vertical="center" shrinkToFit="1"/>
      <protection hidden="1"/>
    </xf>
    <xf numFmtId="166" fontId="2" fillId="6" borderId="9" xfId="0" applyNumberFormat="1" applyFont="1" applyFill="1" applyBorder="1" applyAlignment="1" applyProtection="1">
      <alignment horizontal="center" vertical="center" shrinkToFit="1"/>
      <protection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166" fontId="2" fillId="0" borderId="10" xfId="0" applyNumberFormat="1" applyFont="1" applyBorder="1" applyAlignment="1" applyProtection="1">
      <alignment vertical="center" shrinkToFit="1"/>
      <protection hidden="1"/>
    </xf>
    <xf numFmtId="166" fontId="2" fillId="0" borderId="0" xfId="0" applyNumberFormat="1" applyFont="1" applyBorder="1" applyAlignment="1" applyProtection="1">
      <alignment horizontal="center" vertical="center" shrinkToFit="1"/>
      <protection hidden="1"/>
    </xf>
    <xf numFmtId="166" fontId="2" fillId="6" borderId="11" xfId="0" applyNumberFormat="1" applyFont="1" applyFill="1" applyBorder="1" applyAlignment="1" applyProtection="1">
      <alignment horizontal="center" vertical="center" shrinkToFit="1"/>
      <protection/>
    </xf>
    <xf numFmtId="166" fontId="2" fillId="0" borderId="12" xfId="0" applyNumberFormat="1" applyFont="1" applyBorder="1" applyAlignment="1" applyProtection="1">
      <alignment vertical="center" shrinkToFit="1"/>
      <protection hidden="1"/>
    </xf>
    <xf numFmtId="166" fontId="2" fillId="0" borderId="13" xfId="0" applyNumberFormat="1" applyFont="1" applyBorder="1" applyAlignment="1" applyProtection="1">
      <alignment horizontal="center" vertical="center" shrinkToFit="1"/>
      <protection hidden="1"/>
    </xf>
    <xf numFmtId="166" fontId="2" fillId="6" borderId="14" xfId="0" applyNumberFormat="1" applyFont="1" applyFill="1" applyBorder="1" applyAlignment="1" applyProtection="1">
      <alignment horizontal="center" vertical="center" shrinkToFit="1"/>
      <protection/>
    </xf>
    <xf numFmtId="166" fontId="2" fillId="0" borderId="0" xfId="0" applyNumberFormat="1" applyFont="1" applyAlignment="1" applyProtection="1">
      <alignment vertical="center" shrinkToFit="1"/>
      <protection hidden="1"/>
    </xf>
    <xf numFmtId="166" fontId="2" fillId="0" borderId="0" xfId="0" applyNumberFormat="1" applyFont="1" applyAlignment="1" applyProtection="1">
      <alignment horizontal="center" vertical="center" shrinkToFit="1"/>
      <protection hidden="1"/>
    </xf>
    <xf numFmtId="166" fontId="20" fillId="7" borderId="3" xfId="0" applyNumberFormat="1" applyFont="1" applyFill="1" applyBorder="1" applyAlignment="1" applyProtection="1">
      <alignment horizontal="center" vertical="center" shrinkToFit="1"/>
      <protection hidden="1"/>
    </xf>
    <xf numFmtId="166" fontId="20" fillId="7" borderId="4" xfId="0" applyNumberFormat="1" applyFont="1" applyFill="1" applyBorder="1" applyAlignment="1" applyProtection="1">
      <alignment horizontal="center" vertical="center" shrinkToFit="1"/>
      <protection hidden="1"/>
    </xf>
    <xf numFmtId="166" fontId="20" fillId="7" borderId="5" xfId="0" applyNumberFormat="1" applyFont="1" applyFill="1" applyBorder="1" applyAlignment="1" applyProtection="1">
      <alignment horizontal="center" vertical="center" shrinkToFit="1"/>
      <protection hidden="1"/>
    </xf>
    <xf numFmtId="164" fontId="20" fillId="0" borderId="0" xfId="0" applyFont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right" vertical="center" shrinkToFit="1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shrinkToFit="1"/>
      <protection hidden="1"/>
    </xf>
    <xf numFmtId="164" fontId="2" fillId="0" borderId="0" xfId="0" applyNumberFormat="1" applyFont="1" applyAlignment="1" applyProtection="1">
      <alignment horizontal="right" vertical="center" shrinkToFit="1"/>
      <protection hidden="1"/>
    </xf>
    <xf numFmtId="164" fontId="2" fillId="0" borderId="0" xfId="0" applyFont="1" applyAlignment="1" applyProtection="1">
      <alignment horizontal="right" vertical="center" shrinkToFit="1"/>
      <protection hidden="1"/>
    </xf>
    <xf numFmtId="166" fontId="19" fillId="0" borderId="2" xfId="0" applyNumberFormat="1" applyFont="1" applyBorder="1" applyAlignment="1" applyProtection="1">
      <alignment horizontal="center" vertical="center"/>
      <protection hidden="1" locked="0"/>
    </xf>
    <xf numFmtId="164" fontId="2" fillId="0" borderId="0" xfId="0" applyFont="1" applyAlignment="1" applyProtection="1">
      <alignment horizontal="left" vertical="center" shrinkToFit="1"/>
      <protection hidden="1"/>
    </xf>
    <xf numFmtId="166" fontId="2" fillId="0" borderId="0" xfId="0" applyNumberFormat="1" applyFont="1" applyFill="1" applyBorder="1" applyAlignment="1" applyProtection="1">
      <alignment vertical="center"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19" fillId="0" borderId="0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164" fontId="21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0" applyFont="1" applyFill="1" applyBorder="1" applyAlignment="1" applyProtection="1">
      <alignment horizontal="center" vertical="center"/>
      <protection hidden="1"/>
    </xf>
    <xf numFmtId="164" fontId="0" fillId="0" borderId="0" xfId="0" applyFont="1" applyAlignment="1">
      <alignment horizontal="right"/>
    </xf>
    <xf numFmtId="164" fontId="22" fillId="0" borderId="0" xfId="0" applyFont="1" applyAlignment="1">
      <alignment/>
    </xf>
    <xf numFmtId="164" fontId="23" fillId="8" borderId="0" xfId="0" applyFont="1" applyFill="1" applyAlignment="1">
      <alignment horizontal="center"/>
    </xf>
    <xf numFmtId="164" fontId="24" fillId="8" borderId="0" xfId="0" applyFont="1" applyFill="1" applyAlignment="1">
      <alignment horizontal="center"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 horizontal="right"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Címsor 1" xfId="21"/>
    <cellStyle name="Excel_BuiltIn_Jelölőszín (1)" xfId="22"/>
  </cellStyles>
  <dxfs count="4">
    <dxf>
      <font>
        <b/>
        <i val="0"/>
        <sz val="8"/>
        <color rgb="FFFF0000"/>
      </font>
      <border/>
    </dxf>
    <dxf>
      <font>
        <b/>
        <i val="0"/>
        <sz val="8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8"/>
        <color rgb="FFFF0000"/>
      </font>
      <border/>
    </dxf>
    <dxf>
      <font>
        <b/>
        <i val="0"/>
        <sz val="8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61</xdr:row>
      <xdr:rowOff>9525</xdr:rowOff>
    </xdr:from>
    <xdr:to>
      <xdr:col>14</xdr:col>
      <xdr:colOff>466725</xdr:colOff>
      <xdr:row>85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1353800"/>
          <a:ext cx="3486150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47625</xdr:rowOff>
    </xdr:from>
    <xdr:to>
      <xdr:col>5</xdr:col>
      <xdr:colOff>638175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933" t="17015"/>
        <a:stretch>
          <a:fillRect/>
        </a:stretch>
      </xdr:blipFill>
      <xdr:spPr>
        <a:xfrm>
          <a:off x="0" y="47625"/>
          <a:ext cx="381000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219075</xdr:colOff>
      <xdr:row>3</xdr:row>
      <xdr:rowOff>704850</xdr:rowOff>
    </xdr:from>
    <xdr:to>
      <xdr:col>17</xdr:col>
      <xdr:colOff>523875</xdr:colOff>
      <xdr:row>5</xdr:row>
      <xdr:rowOff>171450</xdr:rowOff>
    </xdr:to>
    <xdr:sp>
      <xdr:nvSpPr>
        <xdr:cNvPr id="3" name="Down Arrow 3"/>
        <xdr:cNvSpPr>
          <a:spLocks/>
        </xdr:cNvSpPr>
      </xdr:nvSpPr>
      <xdr:spPr>
        <a:xfrm>
          <a:off x="10487025" y="1600200"/>
          <a:ext cx="295275" cy="314325"/>
        </a:xfrm>
        <a:prstGeom prst="downArrow">
          <a:avLst>
            <a:gd name="adj1" fmla="val 9092"/>
            <a:gd name="adj2" fmla="val -25000"/>
          </a:avLst>
        </a:prstGeom>
        <a:solidFill>
          <a:srgbClr val="1F497D"/>
        </a:solidFill>
        <a:ln w="936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104775</xdr:rowOff>
    </xdr:from>
    <xdr:to>
      <xdr:col>16</xdr:col>
      <xdr:colOff>114300</xdr:colOff>
      <xdr:row>1</xdr:row>
      <xdr:rowOff>171450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200400" y="104775"/>
          <a:ext cx="6905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2800" b="1" i="0" u="none" baseline="0">
              <a:solidFill>
                <a:srgbClr val="003366"/>
              </a:solidFill>
            </a:rPr>
            <a:t>SOUTH AFRICA 2010 WALLCHART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otballmanager.com/index.php?p=demo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9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7.8515625" style="1" customWidth="1"/>
    <col min="2" max="2" width="11.140625" style="2" customWidth="1"/>
    <col min="3" max="3" width="19.00390625" style="3" customWidth="1"/>
    <col min="4" max="4" width="4.7109375" style="4" customWidth="1"/>
    <col min="5" max="5" width="4.8515625" style="4" customWidth="1"/>
    <col min="6" max="6" width="26.00390625" style="5" customWidth="1"/>
    <col min="7" max="8" width="4.00390625" style="6" customWidth="1"/>
    <col min="9" max="9" width="1.421875" style="6" customWidth="1"/>
    <col min="10" max="10" width="23.140625" style="7" customWidth="1"/>
    <col min="11" max="13" width="7.00390625" style="4" customWidth="1"/>
    <col min="14" max="14" width="8.7109375" style="4" customWidth="1"/>
    <col min="15" max="16" width="7.00390625" style="4" customWidth="1"/>
    <col min="17" max="17" width="4.140625" style="8" customWidth="1"/>
    <col min="18" max="18" width="10.421875" style="8" customWidth="1"/>
    <col min="19" max="19" width="0" style="9" hidden="1" customWidth="1"/>
    <col min="20" max="20" width="0" style="10" hidden="1" customWidth="1"/>
    <col min="21" max="21" width="0" style="9" hidden="1" customWidth="1"/>
    <col min="22" max="22" width="0" style="10" hidden="1" customWidth="1"/>
    <col min="23" max="29" width="0" style="11" hidden="1" customWidth="1"/>
    <col min="30" max="31" width="0" style="10" hidden="1" customWidth="1"/>
    <col min="32" max="36" width="0" style="11" hidden="1" customWidth="1"/>
    <col min="37" max="66" width="0" style="10" hidden="1" customWidth="1"/>
    <col min="67" max="67" width="0" style="12" hidden="1" customWidth="1"/>
    <col min="68" max="87" width="0" style="6" hidden="1" customWidth="1"/>
    <col min="88" max="91" width="0" style="0" hidden="1" customWidth="1"/>
    <col min="110" max="16384" width="9.28125" style="6" customWidth="1"/>
  </cols>
  <sheetData>
    <row r="1" spans="1:109" ht="30.75" customHeight="1">
      <c r="A1" s="13"/>
      <c r="B1" s="13"/>
      <c r="C1" s="13"/>
      <c r="D1" s="14"/>
      <c r="E1" s="14"/>
      <c r="F1" s="13"/>
      <c r="G1" s="13"/>
      <c r="H1" s="13"/>
      <c r="I1" s="13"/>
      <c r="J1" s="14"/>
      <c r="K1" s="14"/>
      <c r="L1" s="14"/>
      <c r="M1" s="14"/>
      <c r="N1" s="14"/>
      <c r="O1" s="14"/>
      <c r="P1" s="15"/>
      <c r="R1" s="16" t="s">
        <v>0</v>
      </c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5:109" ht="23.25" customHeight="1">
      <c r="E2" s="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R2" s="1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</row>
    <row r="3" spans="1:109" ht="16.5" customHeight="1">
      <c r="A3" s="19"/>
      <c r="B3" s="20"/>
      <c r="C3" s="21"/>
      <c r="D3" s="22"/>
      <c r="E3" s="22"/>
      <c r="F3" s="23" t="s">
        <v>1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16"/>
      <c r="S3" s="10"/>
      <c r="T3" s="25"/>
      <c r="U3" s="10"/>
      <c r="V3" s="9"/>
      <c r="W3" s="10"/>
      <c r="AD3" s="11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</row>
    <row r="4" spans="1:109" ht="55.5" customHeight="1">
      <c r="A4" s="19"/>
      <c r="D4" s="26"/>
      <c r="E4" s="26"/>
      <c r="F4" s="27" t="s">
        <v>2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16"/>
      <c r="S4" s="10"/>
      <c r="T4" s="11"/>
      <c r="U4" s="10"/>
      <c r="V4" s="9"/>
      <c r="W4" s="10"/>
      <c r="AD4" s="11"/>
      <c r="AN4" s="11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</row>
    <row r="5" spans="1:109" ht="11.25" customHeight="1">
      <c r="A5" s="29" t="str">
        <f>INDEX(T,41,language)</f>
        <v>First Round</v>
      </c>
      <c r="B5" s="29"/>
      <c r="C5" s="29"/>
      <c r="D5" s="29"/>
      <c r="E5" s="29"/>
      <c r="F5" s="29"/>
      <c r="G5" s="29"/>
      <c r="H5" s="29"/>
      <c r="J5" s="30" t="str">
        <f>CONCATENATE(INDEX(T,40,language)," A")</f>
        <v>Group A</v>
      </c>
      <c r="K5" s="31" t="str">
        <f>INDEX(T,35,language)</f>
        <v>W</v>
      </c>
      <c r="L5" s="31" t="str">
        <f>INDEX(T,36,language)</f>
        <v>D</v>
      </c>
      <c r="M5" s="31" t="str">
        <f>INDEX(T,37,language)</f>
        <v>L</v>
      </c>
      <c r="N5" s="31" t="str">
        <f>INDEX(T,38,language)</f>
        <v>F - A</v>
      </c>
      <c r="O5" s="31" t="str">
        <f>INDEX(T,39,language)</f>
        <v>Pnt</v>
      </c>
      <c r="P5" s="32" t="s">
        <v>3</v>
      </c>
      <c r="S5" s="33" t="s">
        <v>4</v>
      </c>
      <c r="T5" s="33" t="s">
        <v>5</v>
      </c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109" ht="13.5" customHeight="1">
      <c r="A6" s="29"/>
      <c r="B6" s="29"/>
      <c r="C6" s="29"/>
      <c r="D6" s="29"/>
      <c r="E6" s="29"/>
      <c r="F6" s="29"/>
      <c r="G6" s="29"/>
      <c r="H6" s="29"/>
      <c r="J6" s="30"/>
      <c r="K6" s="31"/>
      <c r="L6" s="31"/>
      <c r="M6" s="31"/>
      <c r="N6" s="31"/>
      <c r="O6" s="31"/>
      <c r="P6" s="32"/>
      <c r="S6" s="33"/>
      <c r="T6" s="33"/>
      <c r="U6" s="9" t="s">
        <v>6</v>
      </c>
      <c r="V6" s="9"/>
      <c r="W6" s="9" t="s">
        <v>7</v>
      </c>
      <c r="X6" s="9" t="s">
        <v>8</v>
      </c>
      <c r="Y6" s="9" t="s">
        <v>9</v>
      </c>
      <c r="Z6" s="9" t="s">
        <v>10</v>
      </c>
      <c r="AA6" s="9" t="s">
        <v>11</v>
      </c>
      <c r="AB6" s="9" t="s">
        <v>12</v>
      </c>
      <c r="AC6" s="9" t="s">
        <v>13</v>
      </c>
      <c r="BI6" s="34" t="s">
        <v>14</v>
      </c>
      <c r="BJ6" s="10">
        <f>VLOOKUP(BI6,BI7:BJ30,2,FALSE)</f>
        <v>2</v>
      </c>
      <c r="BK6" s="34" t="s">
        <v>15</v>
      </c>
      <c r="BL6" s="10">
        <f>VLOOKUP(BK6,BK7:BL50,2,FALSE)</f>
        <v>1</v>
      </c>
      <c r="BM6" s="34" t="s">
        <v>16</v>
      </c>
      <c r="BN6" s="10">
        <f>VLOOKUP(BM6,BM7:BN10,2,FALSE)</f>
        <v>0</v>
      </c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</row>
    <row r="7" spans="1:67" s="6" customFormat="1" ht="13.5" customHeight="1">
      <c r="A7" s="35">
        <v>39975</v>
      </c>
      <c r="B7" s="36"/>
      <c r="C7" s="37" t="str">
        <f>V7</f>
        <v>Dél-Afrika</v>
      </c>
      <c r="D7" s="38">
        <v>1</v>
      </c>
      <c r="E7" s="38">
        <v>1</v>
      </c>
      <c r="F7" s="39" t="str">
        <f>V8</f>
        <v>Mexikó</v>
      </c>
      <c r="J7" s="40" t="str">
        <f>VLOOKUP(4,U7:AB10,2,FALSE)</f>
        <v>Uruguay</v>
      </c>
      <c r="K7" s="41">
        <f>VLOOKUP(4,U7:AB10,3,FALSE)</f>
        <v>2</v>
      </c>
      <c r="L7" s="41">
        <f>VLOOKUP(4,U7:AB10,4,FALSE)</f>
        <v>1</v>
      </c>
      <c r="M7" s="41">
        <f>VLOOKUP(4,U7:AB10,5,FALSE)</f>
        <v>0</v>
      </c>
      <c r="N7" s="41" t="str">
        <f>CONCATENATE(VLOOKUP(4,U7:AB10,6,FALSE)," - ",VLOOKUP(4,U7:AB10,7,FALSE))</f>
        <v>4 - 0</v>
      </c>
      <c r="O7" s="41">
        <f>VLOOKUP(4,U7:AB10,8,FALSE)</f>
        <v>7</v>
      </c>
      <c r="P7" s="42"/>
      <c r="Q7" s="8"/>
      <c r="R7" s="8" t="s">
        <v>17</v>
      </c>
      <c r="S7" s="9">
        <f>5-(IF(T7&gt;T7,1,0)+IF(T7&gt;T8,1,0)+IF(T7&gt;T9,1,0)+IF(T7&gt;T10,1,0)+1)</f>
        <v>3</v>
      </c>
      <c r="T7" s="9">
        <f>IF(VLOOKUP(V7,J7:P10,7,FALSE)="",GMT_MIN,10-VLOOKUP(V7,J7:P10,7,FALSE))*10+U7</f>
        <v>2</v>
      </c>
      <c r="U7" s="9">
        <f>IF(AC7&gt;AC7,1,0)+IF(AC7&gt;AC8,1,0)+IF(AC7&gt;AC9,1,0)+IF(AC7&gt;AC10,1,0)+1</f>
        <v>2</v>
      </c>
      <c r="V7" s="10" t="str">
        <f>R7</f>
        <v>Dél-Afrika</v>
      </c>
      <c r="W7" s="11">
        <f>COUNTIF(AW7:AX54,CONCATENATE(V7,"_win"))</f>
        <v>1</v>
      </c>
      <c r="X7" s="11">
        <f>COUNTIF(AW7:AX54,CONCATENATE(V7,"_draw"))</f>
        <v>1</v>
      </c>
      <c r="Y7" s="11">
        <f>COUNTIF(AW7:AX54,CONCATENATE(V7,"_lose"))</f>
        <v>1</v>
      </c>
      <c r="Z7" s="11">
        <f>SUMIF(AS7:AS54,CONCATENATE("=",V7),AT7:AT54)+SUMIF(AO7:AO54,CONCATENATE("=",V7),AP7:AP54)</f>
        <v>3</v>
      </c>
      <c r="AA7" s="11">
        <f>SUMIF(AU7:AU54,CONCATENATE("=",V7),AV7:AV54)+SUMIF(AQ7:AQ54,CONCATENATE("=",V7),AR7:AR54)</f>
        <v>5</v>
      </c>
      <c r="AB7" s="11">
        <f>W7*3+X7</f>
        <v>4</v>
      </c>
      <c r="AC7" s="11">
        <f>0.4+AL7+Z7*1000+(Z7-AA7)*100000+AB7*10000000</f>
        <v>39803001.4</v>
      </c>
      <c r="AD7" s="10">
        <f>IF(COUNTIF(AB7:AB10,CONCATENATE("=",AB7))=1,0,COUNTIF(AB7:AB10,CONCATENATE("=",AB7)))*AB7</f>
        <v>8</v>
      </c>
      <c r="AE7" s="10" t="str">
        <f>IF(SUM(W7:Y10)=12,VLOOKUP(1,S7:V10,4,FALSE),INDEX(T,48,language))</f>
        <v>Uruguay</v>
      </c>
      <c r="AF7" s="11">
        <f>IF(AD7=AD11,AB7,IF(AD8=AD11,AB8,IF(AD9=AD11,AB9,AB10)))</f>
        <v>4</v>
      </c>
      <c r="AG7" s="11">
        <f>IF(AB7=AF7,1,0)</f>
        <v>1</v>
      </c>
      <c r="AH7" s="11">
        <f>COUNTIF(AY7:AZ54,CONCATENATE(V7,"_win"))</f>
        <v>0</v>
      </c>
      <c r="AI7" s="11">
        <f>SUMIF(BE7:BE54,CONCATENATE("=",V7),BF7:BF54)+SUMIF(BA7:BA54,CONCATENATE("=",V7),BB7:BB54)</f>
        <v>1</v>
      </c>
      <c r="AJ7" s="11">
        <f>SUMIF(BG7:BG54,CONCATENATE("=",V7),BH7:BH54)+SUMIF(BC7:BC54,CONCATENATE("=",V7),BD7:BD54)</f>
        <v>1</v>
      </c>
      <c r="AK7" s="10">
        <f>300*AH7+(AI7-AJ7)*10+AI7</f>
        <v>1</v>
      </c>
      <c r="AL7" s="10">
        <f>IF(AK7&gt;0,AK7,0)</f>
        <v>1</v>
      </c>
      <c r="AM7" s="10"/>
      <c r="AN7" s="10">
        <f>VLOOKUP(F7,V7:AG59,12,FALSE)+VLOOKUP(C7,V7:AG59,12,FALSE)</f>
        <v>2</v>
      </c>
      <c r="AO7" s="10" t="str">
        <f aca="true" t="shared" si="0" ref="AO7:AO54">C7</f>
        <v>Dél-Afrika</v>
      </c>
      <c r="AP7" s="10">
        <f aca="true" t="shared" si="1" ref="AP7:AP54">D7</f>
        <v>1</v>
      </c>
      <c r="AQ7" s="10" t="str">
        <f aca="true" t="shared" si="2" ref="AQ7:AQ54">C7</f>
        <v>Dél-Afrika</v>
      </c>
      <c r="AR7" s="10">
        <f aca="true" t="shared" si="3" ref="AR7:AR54">E7</f>
        <v>1</v>
      </c>
      <c r="AS7" s="10" t="str">
        <f aca="true" t="shared" si="4" ref="AS7:AS54">F7</f>
        <v>Mexikó</v>
      </c>
      <c r="AT7" s="10">
        <f aca="true" t="shared" si="5" ref="AT7:AT54">E7</f>
        <v>1</v>
      </c>
      <c r="AU7" s="10" t="str">
        <f aca="true" t="shared" si="6" ref="AU7:AU54">F7</f>
        <v>Mexikó</v>
      </c>
      <c r="AV7" s="10">
        <f aca="true" t="shared" si="7" ref="AV7:AV54">D7</f>
        <v>1</v>
      </c>
      <c r="AW7" s="10" t="str">
        <f aca="true" t="shared" si="8" ref="AW7:AW54">IF(D7="","",IF(E7="","",IF(D7&gt;E7,CONCATENATE(C7,"_win"),IF(D7&lt;E7,CONCATENATE(C7,"_lose"),CONCATENATE(C7,"_draw")))))</f>
        <v>Dél-Afrika_draw</v>
      </c>
      <c r="AX7" s="10" t="str">
        <f aca="true" t="shared" si="9" ref="AX7:AX54">IF(D7="","",IF(E7="","",IF(D7&gt;E7,CONCATENATE(F7,"_lose"),IF(D7&lt;E7,CONCATENATE(F7,"_win"),CONCATENATE(F7,"_draw")))))</f>
        <v>Mexikó_draw</v>
      </c>
      <c r="AY7" s="10" t="str">
        <f aca="true" t="shared" si="10" ref="AY7:AY54">IF(AN7=2,IF(D7="","",IF(E7="","",IF(D7&gt;E7,CONCATENATE(C7,"_win"),IF(D7&lt;E7,CONCATENATE(C7,"_lose"),CONCATENATE(C7,"_draw"))))),"")</f>
        <v>Dél-Afrika_draw</v>
      </c>
      <c r="AZ7" s="10" t="str">
        <f aca="true" t="shared" si="11" ref="AZ7:AZ54">IF(AN7=2,IF(D7="","",IF(E7="","",IF(D7&gt;E7,CONCATENATE(F7,"_lose"),IF(D7&lt;E7,CONCATENATE(F7,"_win"),CONCATENATE(F7,"_draw"))))),"")</f>
        <v>Mexikó_draw</v>
      </c>
      <c r="BA7" s="10" t="str">
        <f aca="true" t="shared" si="12" ref="BA7:BA54">IF(AN7=2,AO7,"")</f>
        <v>Dél-Afrika</v>
      </c>
      <c r="BB7" s="10">
        <f aca="true" t="shared" si="13" ref="BB7:BB54">IF(AN7=2,AP7,"")</f>
        <v>1</v>
      </c>
      <c r="BC7" s="10" t="str">
        <f aca="true" t="shared" si="14" ref="BC7:BC54">IF(AN7=2,AQ7,"")</f>
        <v>Dél-Afrika</v>
      </c>
      <c r="BD7" s="10">
        <f aca="true" t="shared" si="15" ref="BD7:BD54">IF(AN7=2,AR7,"")</f>
        <v>1</v>
      </c>
      <c r="BE7" s="10" t="str">
        <f aca="true" t="shared" si="16" ref="BE7:BE54">IF(AN7=2,AS7,"")</f>
        <v>Mexikó</v>
      </c>
      <c r="BF7" s="10">
        <f aca="true" t="shared" si="17" ref="BF7:BF54">IF(AN7=2,AT7,"")</f>
        <v>1</v>
      </c>
      <c r="BG7" s="10" t="str">
        <f aca="true" t="shared" si="18" ref="BG7:BG54">IF(AN7=2,AU7,"")</f>
        <v>Mexikó</v>
      </c>
      <c r="BH7" s="10">
        <f aca="true" t="shared" si="19" ref="BH7:BH54">IF(AN7=2,AV7,"")</f>
        <v>1</v>
      </c>
      <c r="BI7" s="10" t="s">
        <v>18</v>
      </c>
      <c r="BJ7" s="10">
        <v>-11</v>
      </c>
      <c r="BK7" s="10" t="s">
        <v>15</v>
      </c>
      <c r="BL7" s="10">
        <v>1</v>
      </c>
      <c r="BM7" s="10" t="s">
        <v>16</v>
      </c>
      <c r="BN7" s="10">
        <v>0</v>
      </c>
      <c r="BO7" s="12"/>
    </row>
    <row r="8" spans="1:67" s="6" customFormat="1" ht="13.5" customHeight="1">
      <c r="A8" s="35">
        <v>39975</v>
      </c>
      <c r="B8" s="36"/>
      <c r="C8" s="43" t="str">
        <f>V9</f>
        <v>Uruguay</v>
      </c>
      <c r="D8" s="38">
        <v>0</v>
      </c>
      <c r="E8" s="38">
        <v>0</v>
      </c>
      <c r="F8" s="39" t="str">
        <f>V10</f>
        <v>Franciaország</v>
      </c>
      <c r="J8" s="44" t="str">
        <f>VLOOKUP(3,U7:AB10,2,FALSE)</f>
        <v>Mexikó</v>
      </c>
      <c r="K8" s="45">
        <f>VLOOKUP(3,U7:AB10,3,FALSE)</f>
        <v>1</v>
      </c>
      <c r="L8" s="45">
        <f>VLOOKUP(3,U7:AB10,4,FALSE)</f>
        <v>1</v>
      </c>
      <c r="M8" s="45">
        <f>VLOOKUP(3,U7:AB10,5,FALSE)</f>
        <v>1</v>
      </c>
      <c r="N8" s="45" t="str">
        <f>CONCATENATE(VLOOKUP(3,U7:AB10,6,FALSE)," - ",VLOOKUP(3,U7:AB10,7,FALSE))</f>
        <v>3 - 2</v>
      </c>
      <c r="O8" s="45">
        <f>VLOOKUP(3,U7:AB10,8,FALSE)</f>
        <v>4</v>
      </c>
      <c r="P8" s="46"/>
      <c r="Q8" s="8"/>
      <c r="R8" s="8" t="s">
        <v>19</v>
      </c>
      <c r="S8" s="9">
        <f>5-(IF(T8&gt;T7,1,0)+IF(T8&gt;T8,1,0)+IF(T8&gt;T9,1,0)+IF(T8&gt;T10,1,0)+1)</f>
        <v>2</v>
      </c>
      <c r="T8" s="9">
        <f>IF(VLOOKUP(V8,J7:P10,7,FALSE)="",GMT_MIN,10-VLOOKUP(V8,J7:P10,7,FALSE))*10+U8</f>
        <v>3</v>
      </c>
      <c r="U8" s="9">
        <f>IF(AC8&gt;AC7,1,0)+IF(AC8&gt;AC8,1,0)+IF(AC8&gt;AC9,1,0)+IF(AC8&gt;AC10,1,0)+1</f>
        <v>3</v>
      </c>
      <c r="V8" s="10" t="str">
        <f>R8</f>
        <v>Mexikó</v>
      </c>
      <c r="W8" s="11">
        <f>COUNTIF(AW7:AX54,CONCATENATE(V8,"_win"))</f>
        <v>1</v>
      </c>
      <c r="X8" s="11">
        <f>COUNTIF(AW7:AX54,CONCATENATE(V8,"_draw"))</f>
        <v>1</v>
      </c>
      <c r="Y8" s="11">
        <f>COUNTIF(AW7:AX54,CONCATENATE(V8,"_lose"))</f>
        <v>1</v>
      </c>
      <c r="Z8" s="11">
        <f>SUMIF(AS7:AS54,CONCATENATE("=",V8),AT7:AT54)+SUMIF(AO7:AO54,CONCATENATE("=",V8),AP7:AP54)</f>
        <v>3</v>
      </c>
      <c r="AA8" s="11">
        <f>SUMIF(AU7:AU54,CONCATENATE("=",V8),AV7:AV54)+SUMIF(AQ7:AQ54,CONCATENATE("=",V8),AR7:AR54)</f>
        <v>2</v>
      </c>
      <c r="AB8" s="11">
        <f>W8*3+X8</f>
        <v>4</v>
      </c>
      <c r="AC8" s="11">
        <f>0.3+AL8+Z8*1000+(Z8-AA8)*100000+AB8*10000000</f>
        <v>40103001.3</v>
      </c>
      <c r="AD8" s="10">
        <f>IF(COUNTIF(AB7:AB10,CONCATENATE("=",AB8))=1,0,COUNTIF(AB7:AB10,CONCATENATE("=",AB8)))*AB8</f>
        <v>8</v>
      </c>
      <c r="AE8" s="10" t="str">
        <f>IF(SUM(W7:Y10)=12,VLOOKUP(2,S7:V10,4,FALSE),INDEX(T,49,language))</f>
        <v>Mexikó</v>
      </c>
      <c r="AF8" s="11"/>
      <c r="AG8" s="11">
        <f>IF(AB8=AF7,1,0)</f>
        <v>1</v>
      </c>
      <c r="AH8" s="11">
        <f>COUNTIF(AY7:AZ54,CONCATENATE(V8,"_win"))</f>
        <v>0</v>
      </c>
      <c r="AI8" s="11">
        <f>SUMIF(BE7:BE54,CONCATENATE("=",V8),BF7:BF54)+SUMIF(BA7:BA54,CONCATENATE("=",V8),BB7:BB54)</f>
        <v>1</v>
      </c>
      <c r="AJ8" s="11">
        <f>SUMIF(BG7:BG54,CONCATENATE("=",V8),BH7:BH54)+SUMIF(BC7:BC54,CONCATENATE("=",V8),BD7:BD54)</f>
        <v>1</v>
      </c>
      <c r="AK8" s="10">
        <f>300*AH8+(AI8-AJ8)*10+AI8</f>
        <v>1</v>
      </c>
      <c r="AL8" s="10">
        <f>IF(AK8&gt;0,AK8,0)</f>
        <v>1</v>
      </c>
      <c r="AM8" s="10"/>
      <c r="AN8" s="10">
        <f>VLOOKUP(F8,V7:AG59,12,FALSE)+VLOOKUP(C8,V7:AG59,12,FALSE)</f>
        <v>0</v>
      </c>
      <c r="AO8" s="10" t="str">
        <f t="shared" si="0"/>
        <v>Uruguay</v>
      </c>
      <c r="AP8" s="10">
        <f t="shared" si="1"/>
        <v>0</v>
      </c>
      <c r="AQ8" s="10" t="str">
        <f t="shared" si="2"/>
        <v>Uruguay</v>
      </c>
      <c r="AR8" s="10">
        <f t="shared" si="3"/>
        <v>0</v>
      </c>
      <c r="AS8" s="10" t="str">
        <f t="shared" si="4"/>
        <v>Franciaország</v>
      </c>
      <c r="AT8" s="10">
        <f t="shared" si="5"/>
        <v>0</v>
      </c>
      <c r="AU8" s="10" t="str">
        <f t="shared" si="6"/>
        <v>Franciaország</v>
      </c>
      <c r="AV8" s="10">
        <f t="shared" si="7"/>
        <v>0</v>
      </c>
      <c r="AW8" s="10" t="str">
        <f t="shared" si="8"/>
        <v>Uruguay_draw</v>
      </c>
      <c r="AX8" s="10" t="str">
        <f t="shared" si="9"/>
        <v>Franciaország_draw</v>
      </c>
      <c r="AY8" s="10">
        <f t="shared" si="10"/>
      </c>
      <c r="AZ8" s="10">
        <f t="shared" si="11"/>
      </c>
      <c r="BA8" s="10">
        <f t="shared" si="12"/>
      </c>
      <c r="BB8" s="10">
        <f t="shared" si="13"/>
      </c>
      <c r="BC8" s="10">
        <f t="shared" si="14"/>
      </c>
      <c r="BD8" s="10">
        <f t="shared" si="15"/>
      </c>
      <c r="BE8" s="10">
        <f t="shared" si="16"/>
      </c>
      <c r="BF8" s="10">
        <f t="shared" si="17"/>
      </c>
      <c r="BG8" s="10">
        <f t="shared" si="18"/>
      </c>
      <c r="BH8" s="10">
        <f t="shared" si="19"/>
      </c>
      <c r="BI8" s="10" t="s">
        <v>20</v>
      </c>
      <c r="BJ8" s="10">
        <v>-10</v>
      </c>
      <c r="BK8" s="10" t="s">
        <v>21</v>
      </c>
      <c r="BL8" s="10">
        <v>2</v>
      </c>
      <c r="BM8" s="10" t="s">
        <v>22</v>
      </c>
      <c r="BN8" s="10">
        <v>15</v>
      </c>
      <c r="BO8" s="12"/>
    </row>
    <row r="9" spans="1:67" s="6" customFormat="1" ht="13.5" customHeight="1">
      <c r="A9" s="35">
        <v>39976</v>
      </c>
      <c r="B9" s="36"/>
      <c r="C9" s="43" t="str">
        <f>V14</f>
        <v>Argentina</v>
      </c>
      <c r="D9" s="38">
        <v>1</v>
      </c>
      <c r="E9" s="38">
        <v>0</v>
      </c>
      <c r="F9" s="39" t="str">
        <f>V15</f>
        <v>Nigéria</v>
      </c>
      <c r="J9" s="44" t="str">
        <f>VLOOKUP(2,U7:AB10,2,FALSE)</f>
        <v>Dél-Afrika</v>
      </c>
      <c r="K9" s="45">
        <f>VLOOKUP(2,U7:AB10,3,FALSE)</f>
        <v>1</v>
      </c>
      <c r="L9" s="45">
        <f>VLOOKUP(2,U7:AB10,4,FALSE)</f>
        <v>1</v>
      </c>
      <c r="M9" s="45">
        <f>VLOOKUP(2,U7:AB10,5,FALSE)</f>
        <v>1</v>
      </c>
      <c r="N9" s="45" t="str">
        <f>CONCATENATE(VLOOKUP(2,U7:AB10,6,FALSE)," - ",VLOOKUP(2,U7:AB10,7,FALSE))</f>
        <v>3 - 5</v>
      </c>
      <c r="O9" s="45">
        <f>VLOOKUP(2,U7:AB10,8,FALSE)</f>
        <v>4</v>
      </c>
      <c r="P9" s="46"/>
      <c r="Q9" s="8"/>
      <c r="R9" s="8" t="s">
        <v>23</v>
      </c>
      <c r="S9" s="9">
        <f>5-(IF(T9&gt;T7,1,0)+IF(T9&gt;T8,1,0)+IF(T9&gt;T9,1,0)+IF(T9&gt;T10,1,0)+1)</f>
        <v>1</v>
      </c>
      <c r="T9" s="9">
        <f>IF(VLOOKUP(V9,J7:P10,7,FALSE)="",GMT_MIN,10-VLOOKUP(V9,J7:P10,7,FALSE))*10+U9</f>
        <v>4</v>
      </c>
      <c r="U9" s="9">
        <f>IF(AC9&gt;AC7,1,0)+IF(AC9&gt;AC8,1,0)+IF(AC9&gt;AC9,1,0)+IF(AC9&gt;AC10,1,0)+1</f>
        <v>4</v>
      </c>
      <c r="V9" s="10" t="str">
        <f>R9</f>
        <v>Uruguay</v>
      </c>
      <c r="W9" s="11">
        <f>COUNTIF(AW7:AX54,CONCATENATE(V9,"_win"))</f>
        <v>2</v>
      </c>
      <c r="X9" s="11">
        <f>COUNTIF(AW7:AX54,CONCATENATE(V9,"_draw"))</f>
        <v>1</v>
      </c>
      <c r="Y9" s="11">
        <f>COUNTIF(AW7:AX54,CONCATENATE(V9,"_lose"))</f>
        <v>0</v>
      </c>
      <c r="Z9" s="11">
        <f>SUMIF(AS7:AS54,CONCATENATE("=",V9),AT7:AT54)+SUMIF(AO7:AO54,CONCATENATE("=",V9),AP7:AP54)</f>
        <v>4</v>
      </c>
      <c r="AA9" s="11">
        <f>SUMIF(AU7:AU54,CONCATENATE("=",V9),AV7:AV54)+SUMIF(AQ7:AQ54,CONCATENATE("=",V9),AR7:AR54)</f>
        <v>0</v>
      </c>
      <c r="AB9" s="11">
        <f>W9*3+X9</f>
        <v>7</v>
      </c>
      <c r="AC9" s="11">
        <f>0.2+AL9+Z9*1000+(Z9-AA9)*100000+AB9*10000000</f>
        <v>70404000.2</v>
      </c>
      <c r="AD9" s="10">
        <f>IF(COUNTIF(AB7:AB10,CONCATENATE("=",AB9))=1,0,COUNTIF(AB7:AB10,CONCATENATE("=",AB9)))*AB9</f>
        <v>0</v>
      </c>
      <c r="AE9" s="10"/>
      <c r="AF9" s="11"/>
      <c r="AG9" s="11">
        <f>IF(AB9=AF7,1,0)</f>
        <v>0</v>
      </c>
      <c r="AH9" s="11">
        <f>COUNTIF(AY7:AZ54,CONCATENATE(V9,"_win"))</f>
        <v>0</v>
      </c>
      <c r="AI9" s="11">
        <f>SUMIF(BE7:BE54,CONCATENATE("=",V9),BF7:BF54)+SUMIF(BA7:BA54,CONCATENATE("=",V9),BB7:BB54)</f>
        <v>0</v>
      </c>
      <c r="AJ9" s="11">
        <f>SUMIF(BG7:BG54,CONCATENATE("=",V9),BH7:BH54)+SUMIF(BC7:BC54,CONCATENATE("=",V9),BD7:BD54)</f>
        <v>0</v>
      </c>
      <c r="AK9" s="10">
        <f>300*AH9+(AI9-AJ9)*10+AI9</f>
        <v>0</v>
      </c>
      <c r="AL9" s="10">
        <f>IF(AK9&gt;0,AK9,0)</f>
        <v>0</v>
      </c>
      <c r="AM9" s="10"/>
      <c r="AN9" s="10">
        <f>VLOOKUP(F9,V7:AG59,12,FALSE)+VLOOKUP(C9,V7:AG59,12,FALSE)</f>
        <v>1</v>
      </c>
      <c r="AO9" s="10" t="str">
        <f t="shared" si="0"/>
        <v>Argentina</v>
      </c>
      <c r="AP9" s="10">
        <f t="shared" si="1"/>
        <v>1</v>
      </c>
      <c r="AQ9" s="10" t="str">
        <f t="shared" si="2"/>
        <v>Argentina</v>
      </c>
      <c r="AR9" s="10">
        <f t="shared" si="3"/>
        <v>0</v>
      </c>
      <c r="AS9" s="10" t="str">
        <f t="shared" si="4"/>
        <v>Nigéria</v>
      </c>
      <c r="AT9" s="10">
        <f t="shared" si="5"/>
        <v>0</v>
      </c>
      <c r="AU9" s="10" t="str">
        <f t="shared" si="6"/>
        <v>Nigéria</v>
      </c>
      <c r="AV9" s="10">
        <f t="shared" si="7"/>
        <v>1</v>
      </c>
      <c r="AW9" s="10" t="str">
        <f t="shared" si="8"/>
        <v>Argentina_win</v>
      </c>
      <c r="AX9" s="10" t="str">
        <f t="shared" si="9"/>
        <v>Nigéria_lose</v>
      </c>
      <c r="AY9" s="10">
        <f t="shared" si="10"/>
      </c>
      <c r="AZ9" s="10">
        <f t="shared" si="11"/>
      </c>
      <c r="BA9" s="10">
        <f t="shared" si="12"/>
      </c>
      <c r="BB9" s="10">
        <f t="shared" si="13"/>
      </c>
      <c r="BC9" s="10">
        <f t="shared" si="14"/>
      </c>
      <c r="BD9" s="10">
        <f t="shared" si="15"/>
      </c>
      <c r="BE9" s="10">
        <f t="shared" si="16"/>
      </c>
      <c r="BF9" s="10">
        <f t="shared" si="17"/>
      </c>
      <c r="BG9" s="10">
        <f t="shared" si="18"/>
      </c>
      <c r="BH9" s="10">
        <f t="shared" si="19"/>
      </c>
      <c r="BI9" s="10" t="s">
        <v>24</v>
      </c>
      <c r="BJ9" s="10">
        <v>-9</v>
      </c>
      <c r="BK9" s="10" t="s">
        <v>25</v>
      </c>
      <c r="BL9" s="10">
        <v>3</v>
      </c>
      <c r="BM9" s="10" t="s">
        <v>26</v>
      </c>
      <c r="BN9" s="10">
        <v>30</v>
      </c>
      <c r="BO9" s="12"/>
    </row>
    <row r="10" spans="1:67" s="6" customFormat="1" ht="13.5" customHeight="1">
      <c r="A10" s="35">
        <v>39976</v>
      </c>
      <c r="B10" s="36"/>
      <c r="C10" s="43" t="str">
        <f>V16</f>
        <v>Koreai Köztársaság</v>
      </c>
      <c r="D10" s="38">
        <v>2</v>
      </c>
      <c r="E10" s="38">
        <v>0</v>
      </c>
      <c r="F10" s="39" t="str">
        <f>V17</f>
        <v>Görögország</v>
      </c>
      <c r="J10" s="47" t="str">
        <f>VLOOKUP(1,U7:AB10,2,FALSE)</f>
        <v>Franciaország</v>
      </c>
      <c r="K10" s="48">
        <f>VLOOKUP(1,U7:AB10,3,FALSE)</f>
        <v>0</v>
      </c>
      <c r="L10" s="48">
        <f>VLOOKUP(1,U7:AB10,4,FALSE)</f>
        <v>1</v>
      </c>
      <c r="M10" s="48">
        <f>VLOOKUP(1,U7:AB10,5,FALSE)</f>
        <v>2</v>
      </c>
      <c r="N10" s="48" t="str">
        <f>CONCATENATE(VLOOKUP(1,U7:AB10,6,FALSE)," - ",VLOOKUP(1,U7:AB10,7,FALSE))</f>
        <v>1 - 4</v>
      </c>
      <c r="O10" s="48">
        <f>VLOOKUP(1,U7:AB10,8,FALSE)</f>
        <v>1</v>
      </c>
      <c r="P10" s="49"/>
      <c r="Q10" s="8"/>
      <c r="R10" s="8" t="s">
        <v>27</v>
      </c>
      <c r="S10" s="9">
        <f>5-(IF(T10&gt;T7,1,0)+IF(T10&gt;T8,1,0)+IF(T10&gt;T9,1,0)+IF(T10&gt;T10,1,0)+1)</f>
        <v>4</v>
      </c>
      <c r="T10" s="9">
        <f>IF(VLOOKUP(V10,J7:P10,7,FALSE)="",GMT_MIN,10-VLOOKUP(V10,J7:P10,7,FALSE))*10+U10</f>
        <v>1</v>
      </c>
      <c r="U10" s="9">
        <f>IF(AC10&gt;AC7,1,0)+IF(AC10&gt;AC8,1,0)+IF(AC10&gt;AC9,1,0)+IF(AC10&gt;AC10,1,0)+1</f>
        <v>1</v>
      </c>
      <c r="V10" s="10" t="str">
        <f>R10</f>
        <v>Franciaország</v>
      </c>
      <c r="W10" s="11">
        <f>COUNTIF(AW7:AX54,CONCATENATE(V10,"_win"))</f>
        <v>0</v>
      </c>
      <c r="X10" s="11">
        <f>COUNTIF(AW7:AX54,CONCATENATE(V10,"_draw"))</f>
        <v>1</v>
      </c>
      <c r="Y10" s="11">
        <f>COUNTIF(AW7:AX54,CONCATENATE(V10,"_lose"))</f>
        <v>2</v>
      </c>
      <c r="Z10" s="11">
        <f>SUMIF(AS7:AS54,CONCATENATE("=",V10),AT7:AT54)+SUMIF(AO7:AO54,CONCATENATE("=",V10),AP7:AP54)</f>
        <v>1</v>
      </c>
      <c r="AA10" s="11">
        <f>SUMIF(AU7:AU54,CONCATENATE("=",V10),AV7:AV54)+SUMIF(AQ7:AQ54,CONCATENATE("=",V10),AR7:AR54)</f>
        <v>4</v>
      </c>
      <c r="AB10" s="11">
        <f>W10*3+X10</f>
        <v>1</v>
      </c>
      <c r="AC10" s="11">
        <f>0.1+AL10+Z10*1000+(Z10-AA10)*100000+AB10*10000000</f>
        <v>9701000.1</v>
      </c>
      <c r="AD10" s="10">
        <f>IF(COUNTIF(AB7:AB10,CONCATENATE("=",AB10))=1,0,COUNTIF(AB7:AB10,CONCATENATE("=",AB10)))*AB10</f>
        <v>0</v>
      </c>
      <c r="AE10" s="10"/>
      <c r="AF10" s="11"/>
      <c r="AG10" s="11">
        <f>IF(AB10=AF7,1,0)</f>
        <v>0</v>
      </c>
      <c r="AH10" s="11">
        <f>COUNTIF(AY7:AZ54,CONCATENATE(V10,"_win"))</f>
        <v>0</v>
      </c>
      <c r="AI10" s="11">
        <f>SUMIF(BE7:BE54,CONCATENATE("=",V10),BF7:BF54)+SUMIF(BA7:BA54,CONCATENATE("=",V10),BB7:BB54)</f>
        <v>0</v>
      </c>
      <c r="AJ10" s="11">
        <f>SUMIF(BG7:BG54,CONCATENATE("=",V10),BH7:BH54)+SUMIF(BC7:BC54,CONCATENATE("=",V10),BD7:BD54)</f>
        <v>0</v>
      </c>
      <c r="AK10" s="10">
        <f>300*AH10+(AI10-AJ10)*10+AI10</f>
        <v>0</v>
      </c>
      <c r="AL10" s="10">
        <f>IF(AK10&gt;0,AK10,0)</f>
        <v>0</v>
      </c>
      <c r="AM10" s="10"/>
      <c r="AN10" s="10">
        <f>VLOOKUP(F10,V7:AG59,12,FALSE)+VLOOKUP(C10,V7:AG59,12,FALSE)</f>
        <v>0</v>
      </c>
      <c r="AO10" s="10" t="str">
        <f t="shared" si="0"/>
        <v>Koreai Köztársaság</v>
      </c>
      <c r="AP10" s="10">
        <f t="shared" si="1"/>
        <v>2</v>
      </c>
      <c r="AQ10" s="10" t="str">
        <f t="shared" si="2"/>
        <v>Koreai Köztársaság</v>
      </c>
      <c r="AR10" s="10">
        <f t="shared" si="3"/>
        <v>0</v>
      </c>
      <c r="AS10" s="10" t="str">
        <f t="shared" si="4"/>
        <v>Görögország</v>
      </c>
      <c r="AT10" s="10">
        <f t="shared" si="5"/>
        <v>0</v>
      </c>
      <c r="AU10" s="10" t="str">
        <f t="shared" si="6"/>
        <v>Görögország</v>
      </c>
      <c r="AV10" s="10">
        <f t="shared" si="7"/>
        <v>2</v>
      </c>
      <c r="AW10" s="10" t="str">
        <f t="shared" si="8"/>
        <v>Koreai Köztársaság_win</v>
      </c>
      <c r="AX10" s="10" t="str">
        <f t="shared" si="9"/>
        <v>Görögország_lose</v>
      </c>
      <c r="AY10" s="10">
        <f t="shared" si="10"/>
      </c>
      <c r="AZ10" s="10">
        <f t="shared" si="11"/>
      </c>
      <c r="BA10" s="10">
        <f t="shared" si="12"/>
      </c>
      <c r="BB10" s="10">
        <f t="shared" si="13"/>
      </c>
      <c r="BC10" s="10">
        <f t="shared" si="14"/>
      </c>
      <c r="BD10" s="10">
        <f t="shared" si="15"/>
      </c>
      <c r="BE10" s="10">
        <f t="shared" si="16"/>
      </c>
      <c r="BF10" s="10">
        <f t="shared" si="17"/>
      </c>
      <c r="BG10" s="10">
        <f t="shared" si="18"/>
      </c>
      <c r="BH10" s="10">
        <f t="shared" si="19"/>
      </c>
      <c r="BI10" s="10" t="s">
        <v>28</v>
      </c>
      <c r="BJ10" s="10">
        <v>-8</v>
      </c>
      <c r="BK10" s="10" t="s">
        <v>29</v>
      </c>
      <c r="BL10" s="10">
        <v>4</v>
      </c>
      <c r="BM10" s="10" t="s">
        <v>30</v>
      </c>
      <c r="BN10" s="10">
        <v>45</v>
      </c>
      <c r="BO10" s="12"/>
    </row>
    <row r="11" spans="1:109" ht="13.5" customHeight="1">
      <c r="A11" s="35">
        <v>39976</v>
      </c>
      <c r="B11" s="36"/>
      <c r="C11" s="43" t="str">
        <f>V21</f>
        <v>Anglia</v>
      </c>
      <c r="D11" s="38">
        <v>1</v>
      </c>
      <c r="E11" s="38">
        <v>1</v>
      </c>
      <c r="F11" s="39" t="str">
        <f>V22</f>
        <v>USA</v>
      </c>
      <c r="J11" s="50"/>
      <c r="K11" s="51"/>
      <c r="L11" s="51"/>
      <c r="M11" s="51"/>
      <c r="N11" s="51"/>
      <c r="O11" s="51"/>
      <c r="P11" s="51"/>
      <c r="AD11" s="10">
        <f>MAX(AD7:AD10)</f>
        <v>8</v>
      </c>
      <c r="AN11" s="10">
        <f>VLOOKUP(F11,V7:AG59,12,FALSE)+VLOOKUP(C11,V7:AG59,12,FALSE)</f>
        <v>2</v>
      </c>
      <c r="AO11" s="10" t="str">
        <f t="shared" si="0"/>
        <v>Anglia</v>
      </c>
      <c r="AP11" s="10">
        <f t="shared" si="1"/>
        <v>1</v>
      </c>
      <c r="AQ11" s="10" t="str">
        <f t="shared" si="2"/>
        <v>Anglia</v>
      </c>
      <c r="AR11" s="10">
        <f t="shared" si="3"/>
        <v>1</v>
      </c>
      <c r="AS11" s="10" t="str">
        <f t="shared" si="4"/>
        <v>USA</v>
      </c>
      <c r="AT11" s="10">
        <f t="shared" si="5"/>
        <v>1</v>
      </c>
      <c r="AU11" s="10" t="str">
        <f t="shared" si="6"/>
        <v>USA</v>
      </c>
      <c r="AV11" s="10">
        <f t="shared" si="7"/>
        <v>1</v>
      </c>
      <c r="AW11" s="10" t="str">
        <f t="shared" si="8"/>
        <v>Anglia_draw</v>
      </c>
      <c r="AX11" s="10" t="str">
        <f t="shared" si="9"/>
        <v>USA_draw</v>
      </c>
      <c r="AY11" s="10" t="str">
        <f t="shared" si="10"/>
        <v>Anglia_draw</v>
      </c>
      <c r="AZ11" s="10" t="str">
        <f t="shared" si="11"/>
        <v>USA_draw</v>
      </c>
      <c r="BA11" s="10" t="str">
        <f t="shared" si="12"/>
        <v>Anglia</v>
      </c>
      <c r="BB11" s="10">
        <f t="shared" si="13"/>
        <v>1</v>
      </c>
      <c r="BC11" s="10" t="str">
        <f t="shared" si="14"/>
        <v>Anglia</v>
      </c>
      <c r="BD11" s="10">
        <f t="shared" si="15"/>
        <v>1</v>
      </c>
      <c r="BE11" s="10" t="str">
        <f t="shared" si="16"/>
        <v>USA</v>
      </c>
      <c r="BF11" s="10">
        <f t="shared" si="17"/>
        <v>1</v>
      </c>
      <c r="BG11" s="10" t="str">
        <f t="shared" si="18"/>
        <v>USA</v>
      </c>
      <c r="BH11" s="10">
        <f t="shared" si="19"/>
        <v>1</v>
      </c>
      <c r="BI11" s="10" t="s">
        <v>31</v>
      </c>
      <c r="BJ11" s="10">
        <v>-7</v>
      </c>
      <c r="BK11" s="10" t="s">
        <v>32</v>
      </c>
      <c r="BL11" s="10">
        <v>5</v>
      </c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</row>
    <row r="12" spans="1:109" ht="13.5" customHeight="1">
      <c r="A12" s="35">
        <v>39977</v>
      </c>
      <c r="B12" s="36"/>
      <c r="C12" s="43" t="str">
        <f>V23</f>
        <v>Algéria</v>
      </c>
      <c r="D12" s="38">
        <v>0</v>
      </c>
      <c r="E12" s="38">
        <v>1</v>
      </c>
      <c r="F12" s="39" t="str">
        <f>V24</f>
        <v>Szlovénia</v>
      </c>
      <c r="J12" s="52" t="str">
        <f>CONCATENATE(INDEX(T,40,language)," B")</f>
        <v>Group B</v>
      </c>
      <c r="K12" s="53" t="str">
        <f>INDEX(T,35,language)</f>
        <v>W</v>
      </c>
      <c r="L12" s="53" t="str">
        <f>INDEX(T,36,language)</f>
        <v>D</v>
      </c>
      <c r="M12" s="53" t="str">
        <f>INDEX(T,37,language)</f>
        <v>L</v>
      </c>
      <c r="N12" s="53" t="str">
        <f>INDEX(T,38,language)</f>
        <v>F - A</v>
      </c>
      <c r="O12" s="53" t="str">
        <f>INDEX(T,39,language)</f>
        <v>Pnt</v>
      </c>
      <c r="P12" s="54" t="s">
        <v>3</v>
      </c>
      <c r="AN12" s="10">
        <f>VLOOKUP(F12,V7:AG59,12,FALSE)+VLOOKUP(C12,V7:AG59,12,FALSE)</f>
        <v>0</v>
      </c>
      <c r="AO12" s="10" t="str">
        <f t="shared" si="0"/>
        <v>Algéria</v>
      </c>
      <c r="AP12" s="10">
        <f t="shared" si="1"/>
        <v>0</v>
      </c>
      <c r="AQ12" s="10" t="str">
        <f t="shared" si="2"/>
        <v>Algéria</v>
      </c>
      <c r="AR12" s="10">
        <f t="shared" si="3"/>
        <v>1</v>
      </c>
      <c r="AS12" s="10" t="str">
        <f t="shared" si="4"/>
        <v>Szlovénia</v>
      </c>
      <c r="AT12" s="10">
        <f t="shared" si="5"/>
        <v>1</v>
      </c>
      <c r="AU12" s="10" t="str">
        <f t="shared" si="6"/>
        <v>Szlovénia</v>
      </c>
      <c r="AV12" s="10">
        <f t="shared" si="7"/>
        <v>0</v>
      </c>
      <c r="AW12" s="10" t="str">
        <f t="shared" si="8"/>
        <v>Algéria_lose</v>
      </c>
      <c r="AX12" s="10" t="str">
        <f t="shared" si="9"/>
        <v>Szlovénia_win</v>
      </c>
      <c r="AY12" s="10">
        <f t="shared" si="10"/>
      </c>
      <c r="AZ12" s="10">
        <f t="shared" si="11"/>
      </c>
      <c r="BA12" s="10">
        <f t="shared" si="12"/>
      </c>
      <c r="BB12" s="10">
        <f t="shared" si="13"/>
      </c>
      <c r="BC12" s="10">
        <f t="shared" si="14"/>
      </c>
      <c r="BD12" s="10">
        <f t="shared" si="15"/>
      </c>
      <c r="BE12" s="10">
        <f t="shared" si="16"/>
      </c>
      <c r="BF12" s="10">
        <f t="shared" si="17"/>
      </c>
      <c r="BG12" s="10">
        <f t="shared" si="18"/>
      </c>
      <c r="BH12" s="10">
        <f t="shared" si="19"/>
      </c>
      <c r="BI12" s="10" t="s">
        <v>33</v>
      </c>
      <c r="BJ12" s="10">
        <v>-6</v>
      </c>
      <c r="BK12" s="10" t="s">
        <v>34</v>
      </c>
      <c r="BL12" s="10">
        <v>6</v>
      </c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</row>
    <row r="13" spans="1:109" ht="13.5" customHeight="1">
      <c r="A13" s="35">
        <v>39977</v>
      </c>
      <c r="B13" s="36"/>
      <c r="C13" s="43" t="str">
        <f>V28</f>
        <v>Németország</v>
      </c>
      <c r="D13" s="38">
        <v>4</v>
      </c>
      <c r="E13" s="38">
        <v>0</v>
      </c>
      <c r="F13" s="39" t="str">
        <f>V29</f>
        <v>Ausztrália</v>
      </c>
      <c r="J13" s="52"/>
      <c r="K13" s="53"/>
      <c r="L13" s="53"/>
      <c r="M13" s="53"/>
      <c r="N13" s="53"/>
      <c r="O13" s="53"/>
      <c r="P13" s="54"/>
      <c r="AN13" s="10">
        <f>VLOOKUP(F13,V7:AG59,12,FALSE)+VLOOKUP(C13,V7:AG59,12,FALSE)</f>
        <v>1</v>
      </c>
      <c r="AO13" s="10" t="str">
        <f t="shared" si="0"/>
        <v>Németország</v>
      </c>
      <c r="AP13" s="10">
        <f t="shared" si="1"/>
        <v>4</v>
      </c>
      <c r="AQ13" s="10" t="str">
        <f t="shared" si="2"/>
        <v>Németország</v>
      </c>
      <c r="AR13" s="10">
        <f t="shared" si="3"/>
        <v>0</v>
      </c>
      <c r="AS13" s="10" t="str">
        <f t="shared" si="4"/>
        <v>Ausztrália</v>
      </c>
      <c r="AT13" s="10">
        <f t="shared" si="5"/>
        <v>0</v>
      </c>
      <c r="AU13" s="10" t="str">
        <f t="shared" si="6"/>
        <v>Ausztrália</v>
      </c>
      <c r="AV13" s="10">
        <f t="shared" si="7"/>
        <v>4</v>
      </c>
      <c r="AW13" s="10" t="str">
        <f t="shared" si="8"/>
        <v>Németország_win</v>
      </c>
      <c r="AX13" s="10" t="str">
        <f t="shared" si="9"/>
        <v>Ausztrália_lose</v>
      </c>
      <c r="AY13" s="10">
        <f t="shared" si="10"/>
      </c>
      <c r="AZ13" s="10">
        <f t="shared" si="11"/>
      </c>
      <c r="BA13" s="10">
        <f t="shared" si="12"/>
      </c>
      <c r="BB13" s="10">
        <f t="shared" si="13"/>
      </c>
      <c r="BC13" s="10">
        <f t="shared" si="14"/>
      </c>
      <c r="BD13" s="10">
        <f t="shared" si="15"/>
      </c>
      <c r="BE13" s="10">
        <f t="shared" si="16"/>
      </c>
      <c r="BF13" s="10">
        <f t="shared" si="17"/>
      </c>
      <c r="BG13" s="10">
        <f t="shared" si="18"/>
      </c>
      <c r="BH13" s="10">
        <f t="shared" si="19"/>
      </c>
      <c r="BI13" s="10" t="s">
        <v>35</v>
      </c>
      <c r="BJ13" s="10">
        <v>-5</v>
      </c>
      <c r="BK13" s="10" t="s">
        <v>36</v>
      </c>
      <c r="BL13" s="10">
        <v>7</v>
      </c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</row>
    <row r="14" spans="1:67" s="6" customFormat="1" ht="13.5" customHeight="1">
      <c r="A14" s="35">
        <v>39977</v>
      </c>
      <c r="B14" s="36"/>
      <c r="C14" s="43" t="str">
        <f>V30</f>
        <v>Szerbia</v>
      </c>
      <c r="D14" s="38">
        <v>0</v>
      </c>
      <c r="E14" s="38">
        <v>1</v>
      </c>
      <c r="F14" s="39" t="str">
        <f>V31</f>
        <v>Ghána</v>
      </c>
      <c r="J14" s="40" t="str">
        <f>VLOOKUP(4,U14:AB17,2,FALSE)</f>
        <v>Argentina</v>
      </c>
      <c r="K14" s="41">
        <f>VLOOKUP(4,U14:AB17,3,FALSE)</f>
        <v>3</v>
      </c>
      <c r="L14" s="41">
        <f>VLOOKUP(4,U14:AB17,4,FALSE)</f>
        <v>0</v>
      </c>
      <c r="M14" s="41">
        <f>VLOOKUP(4,U14:AB17,5,FALSE)</f>
        <v>0</v>
      </c>
      <c r="N14" s="41" t="str">
        <f>CONCATENATE(VLOOKUP(4,U14:AB17,6,FALSE)," - ",VLOOKUP(4,U14:AB17,7,FALSE))</f>
        <v>7 - 1</v>
      </c>
      <c r="O14" s="41">
        <f>VLOOKUP(4,U14:AB17,8,FALSE)</f>
        <v>9</v>
      </c>
      <c r="P14" s="42"/>
      <c r="Q14" s="8"/>
      <c r="R14" s="8" t="s">
        <v>37</v>
      </c>
      <c r="S14" s="9">
        <f>5-(IF(T14&gt;T14,1,0)+IF(T14&gt;T15,1,0)+IF(T14&gt;T16,1,0)+IF(T14&gt;T17,1,0)+1)</f>
        <v>1</v>
      </c>
      <c r="T14" s="9">
        <f>IF(VLOOKUP(V14,J14:P17,7,FALSE)="",GMT_MIN,10-VLOOKUP(V14,J14:P17,7,FALSE))*10+U14</f>
        <v>4</v>
      </c>
      <c r="U14" s="9">
        <f>IF(AC14&gt;AC14,1,0)+IF(AC14&gt;AC15,1,0)+IF(AC14&gt;AC16,1,0)+IF(AC14&gt;AC17,1,0)+1</f>
        <v>4</v>
      </c>
      <c r="V14" s="10" t="str">
        <f>R14</f>
        <v>Argentina</v>
      </c>
      <c r="W14" s="11">
        <f>COUNTIF(AW7:AX54,CONCATENATE(V14,"_win"))</f>
        <v>3</v>
      </c>
      <c r="X14" s="11">
        <f>COUNTIF(AW7:AX54,CONCATENATE(V14,"_draw"))</f>
        <v>0</v>
      </c>
      <c r="Y14" s="11">
        <f>COUNTIF(AW7:AX54,CONCATENATE(V14,"_lose"))</f>
        <v>0</v>
      </c>
      <c r="Z14" s="11">
        <f>SUMIF(AS7:AS54,CONCATENATE("=",V14),AT7:AT54)+SUMIF(AO7:AO54,CONCATENATE("=",V14),AP7:AP54)</f>
        <v>7</v>
      </c>
      <c r="AA14" s="11">
        <f>SUMIF(AU7:AU54,CONCATENATE("=",V14),AV7:AV54)+SUMIF(AQ7:AQ54,CONCATENATE("=",V14),AR7:AR54)</f>
        <v>1</v>
      </c>
      <c r="AB14" s="11">
        <f>W14*3+X14</f>
        <v>9</v>
      </c>
      <c r="AC14" s="11">
        <f>0.4+AL14+Z14*1000+(Z14-AA14)*100000+AB14*10000000</f>
        <v>90607000.4</v>
      </c>
      <c r="AD14" s="10">
        <f>IF(COUNTIF(AB14:AB17,CONCATENATE("=",AB14))=1,0,COUNTIF(AB14:AB17,CONCATENATE("=",AB14)))*AB14</f>
        <v>0</v>
      </c>
      <c r="AE14" s="10" t="str">
        <f>IF(SUM(W14:Y17)=12,VLOOKUP(1,S14:V17,4,FALSE),INDEX(T,50,language))</f>
        <v>Argentina</v>
      </c>
      <c r="AF14" s="11">
        <f>IF(AD14=AD18,AB14,IF(AD15=AD18,AB15,IF(AD16=AD18,AB16,AB17)))</f>
        <v>9</v>
      </c>
      <c r="AG14" s="11">
        <f>IF(AB14=AF14,1,0)</f>
        <v>1</v>
      </c>
      <c r="AH14" s="11">
        <f>COUNTIF(AY7:AZ54,CONCATENATE(V14,"_win"))</f>
        <v>0</v>
      </c>
      <c r="AI14" s="11">
        <f>SUMIF(BE7:BE54,CONCATENATE("=",V14),BF7:BF54)+SUMIF(BA7:BA54,CONCATENATE("=",V14),BB7:BB54)</f>
        <v>0</v>
      </c>
      <c r="AJ14" s="11">
        <f>SUMIF(BG7:BG54,CONCATENATE("=",V14),BH7:BH54)+SUMIF(BC7:BC54,CONCATENATE("=",V14),BD7:BD54)</f>
        <v>0</v>
      </c>
      <c r="AK14" s="10">
        <f>300*AH14+(AI14-AJ14)*10+AI14</f>
        <v>0</v>
      </c>
      <c r="AL14" s="10">
        <f>IF(AK14&gt;0,AK14,0)</f>
        <v>0</v>
      </c>
      <c r="AM14" s="10"/>
      <c r="AN14" s="10">
        <f>VLOOKUP(F14,V7:AG59,12,FALSE)+VLOOKUP(C14,V7:AG59,12,FALSE)</f>
        <v>1</v>
      </c>
      <c r="AO14" s="10" t="str">
        <f t="shared" si="0"/>
        <v>Szerbia</v>
      </c>
      <c r="AP14" s="10">
        <f t="shared" si="1"/>
        <v>0</v>
      </c>
      <c r="AQ14" s="10" t="str">
        <f t="shared" si="2"/>
        <v>Szerbia</v>
      </c>
      <c r="AR14" s="10">
        <f t="shared" si="3"/>
        <v>1</v>
      </c>
      <c r="AS14" s="10" t="str">
        <f t="shared" si="4"/>
        <v>Ghána</v>
      </c>
      <c r="AT14" s="10">
        <f t="shared" si="5"/>
        <v>1</v>
      </c>
      <c r="AU14" s="10" t="str">
        <f t="shared" si="6"/>
        <v>Ghána</v>
      </c>
      <c r="AV14" s="10">
        <f t="shared" si="7"/>
        <v>0</v>
      </c>
      <c r="AW14" s="10" t="str">
        <f t="shared" si="8"/>
        <v>Szerbia_lose</v>
      </c>
      <c r="AX14" s="10" t="str">
        <f t="shared" si="9"/>
        <v>Ghána_win</v>
      </c>
      <c r="AY14" s="10">
        <f t="shared" si="10"/>
      </c>
      <c r="AZ14" s="10">
        <f t="shared" si="11"/>
      </c>
      <c r="BA14" s="10">
        <f t="shared" si="12"/>
      </c>
      <c r="BB14" s="10">
        <f t="shared" si="13"/>
      </c>
      <c r="BC14" s="10">
        <f t="shared" si="14"/>
      </c>
      <c r="BD14" s="10">
        <f t="shared" si="15"/>
      </c>
      <c r="BE14" s="10">
        <f t="shared" si="16"/>
      </c>
      <c r="BF14" s="10">
        <f t="shared" si="17"/>
      </c>
      <c r="BG14" s="10">
        <f t="shared" si="18"/>
      </c>
      <c r="BH14" s="10">
        <f t="shared" si="19"/>
      </c>
      <c r="BI14" s="10" t="s">
        <v>38</v>
      </c>
      <c r="BJ14" s="10">
        <v>-4</v>
      </c>
      <c r="BK14" s="10" t="s">
        <v>39</v>
      </c>
      <c r="BL14" s="10">
        <v>8</v>
      </c>
      <c r="BM14" s="10"/>
      <c r="BN14" s="10"/>
      <c r="BO14" s="12"/>
    </row>
    <row r="15" spans="1:67" s="6" customFormat="1" ht="13.5" customHeight="1">
      <c r="A15" s="35">
        <v>39978</v>
      </c>
      <c r="B15" s="36"/>
      <c r="C15" s="43" t="str">
        <f>V35</f>
        <v>Hollandia</v>
      </c>
      <c r="D15" s="38">
        <v>2</v>
      </c>
      <c r="E15" s="38">
        <v>0</v>
      </c>
      <c r="F15" s="39" t="str">
        <f>V36</f>
        <v>Dánia</v>
      </c>
      <c r="J15" s="44" t="str">
        <f>VLOOKUP(3,U14:AB17,2,FALSE)</f>
        <v>Koreai Köztársaság</v>
      </c>
      <c r="K15" s="45">
        <f>VLOOKUP(3,U14:AB17,3,FALSE)</f>
        <v>1</v>
      </c>
      <c r="L15" s="45">
        <f>VLOOKUP(3,U14:AB17,4,FALSE)</f>
        <v>1</v>
      </c>
      <c r="M15" s="45">
        <f>VLOOKUP(3,U14:AB17,5,FALSE)</f>
        <v>1</v>
      </c>
      <c r="N15" s="45" t="str">
        <f>CONCATENATE(VLOOKUP(3,U14:AB17,6,FALSE)," - ",VLOOKUP(3,U14:AB17,7,FALSE))</f>
        <v>5 - 6</v>
      </c>
      <c r="O15" s="45">
        <f>VLOOKUP(3,U14:AB17,8,FALSE)</f>
        <v>4</v>
      </c>
      <c r="P15" s="46"/>
      <c r="Q15" s="8"/>
      <c r="R15" s="8" t="s">
        <v>40</v>
      </c>
      <c r="S15" s="9">
        <f>5-(IF(T15&gt;T14,1,0)+IF(T15&gt;T15,1,0)+IF(T15&gt;T16,1,0)+IF(T15&gt;T17,1,0)+1)</f>
        <v>4</v>
      </c>
      <c r="T15" s="9">
        <f>IF(VLOOKUP(V15,J14:P17,7,FALSE)="",GMT_MIN,10-VLOOKUP(V15,J14:P17,7,FALSE))*10+U15</f>
        <v>1</v>
      </c>
      <c r="U15" s="9">
        <f>IF(AC15&gt;AC14,1,0)+IF(AC15&gt;AC15,1,0)+IF(AC15&gt;AC16,1,0)+IF(AC15&gt;AC17,1,0)+1</f>
        <v>1</v>
      </c>
      <c r="V15" s="10" t="str">
        <f>R15</f>
        <v>Nigéria</v>
      </c>
      <c r="W15" s="11">
        <f>COUNTIF(AW7:AX54,CONCATENATE(V15,"_win"))</f>
        <v>0</v>
      </c>
      <c r="X15" s="11">
        <f>COUNTIF(AW7:AX54,CONCATENATE(V15,"_draw"))</f>
        <v>1</v>
      </c>
      <c r="Y15" s="11">
        <f>COUNTIF(AW7:AX54,CONCATENATE(V15,"_lose"))</f>
        <v>2</v>
      </c>
      <c r="Z15" s="11">
        <f>SUMIF(AS7:AS54,CONCATENATE("=",V15),AT7:AT54)+SUMIF(AO7:AO54,CONCATENATE("=",V15),AP7:AP54)</f>
        <v>3</v>
      </c>
      <c r="AA15" s="11">
        <f>SUMIF(AU7:AU54,CONCATENATE("=",V15),AV7:AV54)+SUMIF(AQ7:AQ54,CONCATENATE("=",V15),AR7:AR54)</f>
        <v>5</v>
      </c>
      <c r="AB15" s="11">
        <f>W15*3+X15</f>
        <v>1</v>
      </c>
      <c r="AC15" s="11">
        <f>0.3+AL15+Z15*1000+(Z15-AA15)*100000+AB15*10000000</f>
        <v>9803000.3</v>
      </c>
      <c r="AD15" s="10">
        <f>IF(COUNTIF(AB14:AB17,CONCATENATE("=",AB15))=1,0,COUNTIF(AB14:AB17,CONCATENATE("=",AB15)))*AB15</f>
        <v>0</v>
      </c>
      <c r="AE15" s="10" t="str">
        <f>IF(SUM(W14:Y17)=12,VLOOKUP(2,S14:V17,4,FALSE),INDEX(T,51,language))</f>
        <v>Koreai Köztársaság</v>
      </c>
      <c r="AF15" s="11"/>
      <c r="AG15" s="11">
        <f>IF(AB15=AF14,1,0)</f>
        <v>0</v>
      </c>
      <c r="AH15" s="11">
        <f>COUNTIF(AY7:AZ54,CONCATENATE(V15,"_win"))</f>
        <v>0</v>
      </c>
      <c r="AI15" s="11">
        <f>SUMIF(BE7:BE54,CONCATENATE("=",V15),BF7:BF54)+SUMIF(BA7:BA54,CONCATENATE("=",V15),BB7:BB54)</f>
        <v>0</v>
      </c>
      <c r="AJ15" s="11">
        <f>SUMIF(BG7:BG54,CONCATENATE("=",V15),BH7:BH54)+SUMIF(BC7:BC54,CONCATENATE("=",V15),BD7:BD54)</f>
        <v>0</v>
      </c>
      <c r="AK15" s="10">
        <f>300*AH15+(AI15-AJ15)*10+AI15</f>
        <v>0</v>
      </c>
      <c r="AL15" s="10">
        <f>IF(AK15&gt;0,AK15,0)</f>
        <v>0</v>
      </c>
      <c r="AM15" s="10"/>
      <c r="AN15" s="10">
        <f>VLOOKUP(F15,V7:AG59,12,FALSE)+VLOOKUP(C15,V7:AG59,12,FALSE)</f>
        <v>1</v>
      </c>
      <c r="AO15" s="10" t="str">
        <f t="shared" si="0"/>
        <v>Hollandia</v>
      </c>
      <c r="AP15" s="10">
        <f t="shared" si="1"/>
        <v>2</v>
      </c>
      <c r="AQ15" s="10" t="str">
        <f t="shared" si="2"/>
        <v>Hollandia</v>
      </c>
      <c r="AR15" s="10">
        <f t="shared" si="3"/>
        <v>0</v>
      </c>
      <c r="AS15" s="10" t="str">
        <f t="shared" si="4"/>
        <v>Dánia</v>
      </c>
      <c r="AT15" s="10">
        <f t="shared" si="5"/>
        <v>0</v>
      </c>
      <c r="AU15" s="10" t="str">
        <f t="shared" si="6"/>
        <v>Dánia</v>
      </c>
      <c r="AV15" s="10">
        <f t="shared" si="7"/>
        <v>2</v>
      </c>
      <c r="AW15" s="10" t="str">
        <f t="shared" si="8"/>
        <v>Hollandia_win</v>
      </c>
      <c r="AX15" s="10" t="str">
        <f t="shared" si="9"/>
        <v>Dánia_lose</v>
      </c>
      <c r="AY15" s="10">
        <f t="shared" si="10"/>
      </c>
      <c r="AZ15" s="10">
        <f t="shared" si="11"/>
      </c>
      <c r="BA15" s="10">
        <f t="shared" si="12"/>
      </c>
      <c r="BB15" s="10">
        <f t="shared" si="13"/>
      </c>
      <c r="BC15" s="10">
        <f t="shared" si="14"/>
      </c>
      <c r="BD15" s="10">
        <f t="shared" si="15"/>
      </c>
      <c r="BE15" s="10">
        <f t="shared" si="16"/>
      </c>
      <c r="BF15" s="10">
        <f t="shared" si="17"/>
      </c>
      <c r="BG15" s="10">
        <f t="shared" si="18"/>
      </c>
      <c r="BH15" s="10">
        <f t="shared" si="19"/>
      </c>
      <c r="BI15" s="10" t="s">
        <v>41</v>
      </c>
      <c r="BJ15" s="10">
        <v>-3</v>
      </c>
      <c r="BK15" s="10" t="s">
        <v>42</v>
      </c>
      <c r="BL15" s="10">
        <v>9</v>
      </c>
      <c r="BM15" s="10"/>
      <c r="BN15" s="10"/>
      <c r="BO15" s="12"/>
    </row>
    <row r="16" spans="1:67" s="6" customFormat="1" ht="13.5" customHeight="1">
      <c r="A16" s="35">
        <v>39978</v>
      </c>
      <c r="B16" s="36"/>
      <c r="C16" s="43" t="str">
        <f>V37</f>
        <v>Japán</v>
      </c>
      <c r="D16" s="38">
        <v>1</v>
      </c>
      <c r="E16" s="38">
        <v>0</v>
      </c>
      <c r="F16" s="39" t="str">
        <f>V38</f>
        <v>Kamerun</v>
      </c>
      <c r="J16" s="44" t="str">
        <f>VLOOKUP(2,U14:AB17,2,FALSE)</f>
        <v>Görögország</v>
      </c>
      <c r="K16" s="45">
        <f>VLOOKUP(2,U14:AB17,3,FALSE)</f>
        <v>1</v>
      </c>
      <c r="L16" s="45">
        <f>VLOOKUP(2,U14:AB17,4,FALSE)</f>
        <v>0</v>
      </c>
      <c r="M16" s="45">
        <f>VLOOKUP(2,U14:AB17,5,FALSE)</f>
        <v>2</v>
      </c>
      <c r="N16" s="45" t="str">
        <f>CONCATENATE(VLOOKUP(2,U14:AB17,6,FALSE)," - ",VLOOKUP(2,U14:AB17,7,FALSE))</f>
        <v>2 - 5</v>
      </c>
      <c r="O16" s="45">
        <f>VLOOKUP(2,U14:AB17,8,FALSE)</f>
        <v>3</v>
      </c>
      <c r="P16" s="46"/>
      <c r="Q16" s="8"/>
      <c r="R16" s="8" t="s">
        <v>43</v>
      </c>
      <c r="S16" s="9">
        <f>5-(IF(T16&gt;T14,1,0)+IF(T16&gt;T15,1,0)+IF(T16&gt;T16,1,0)+IF(T16&gt;T17,1,0)+1)</f>
        <v>2</v>
      </c>
      <c r="T16" s="9">
        <f>IF(VLOOKUP(V16,J14:P17,7,FALSE)="",GMT_MIN,10-VLOOKUP(V16,J14:P17,7,FALSE))*10+U16</f>
        <v>3</v>
      </c>
      <c r="U16" s="9">
        <f>IF(AC16&gt;AC14,1,0)+IF(AC16&gt;AC15,1,0)+IF(AC16&gt;AC16,1,0)+IF(AC16&gt;AC17,1,0)+1</f>
        <v>3</v>
      </c>
      <c r="V16" s="10" t="str">
        <f>R16</f>
        <v>Koreai Köztársaság</v>
      </c>
      <c r="W16" s="11">
        <f>COUNTIF(AW7:AX54,CONCATENATE(V16,"_win"))</f>
        <v>1</v>
      </c>
      <c r="X16" s="11">
        <f>COUNTIF(AW7:AX54,CONCATENATE(V16,"_draw"))</f>
        <v>1</v>
      </c>
      <c r="Y16" s="11">
        <f>COUNTIF(AW7:AX54,CONCATENATE(V16,"_lose"))</f>
        <v>1</v>
      </c>
      <c r="Z16" s="11">
        <f>SUMIF(AS7:AS54,CONCATENATE("=",V16),AT7:AT54)+SUMIF(AO7:AO54,CONCATENATE("=",V16),AP7:AP54)</f>
        <v>5</v>
      </c>
      <c r="AA16" s="11">
        <f>SUMIF(AU7:AU54,CONCATENATE("=",V16),AV7:AV54)+SUMIF(AQ7:AQ54,CONCATENATE("=",V16),AR7:AR54)</f>
        <v>6</v>
      </c>
      <c r="AB16" s="11">
        <f>W16*3+X16</f>
        <v>4</v>
      </c>
      <c r="AC16" s="11">
        <f>0.2+AL16+Z16*1000+(Z16-AA16)*100000+AB16*10000000</f>
        <v>39905000.2</v>
      </c>
      <c r="AD16" s="10">
        <f>IF(COUNTIF(AB14:AB17,CONCATENATE("=",AB16))=1,0,COUNTIF(AB14:AB17,CONCATENATE("=",AB16)))*AB16</f>
        <v>0</v>
      </c>
      <c r="AE16" s="10"/>
      <c r="AF16" s="11"/>
      <c r="AG16" s="11">
        <f>IF(AB16=AF14,1,0)</f>
        <v>0</v>
      </c>
      <c r="AH16" s="11">
        <f>COUNTIF(AY7:AZ54,CONCATENATE(V16,"_win"))</f>
        <v>0</v>
      </c>
      <c r="AI16" s="11">
        <f>SUMIF(BE7:BE54,CONCATENATE("=",V16),BF7:BF54)+SUMIF(BA7:BA54,CONCATENATE("=",V16),BB7:BB54)</f>
        <v>0</v>
      </c>
      <c r="AJ16" s="11">
        <f>SUMIF(BG7:BG54,CONCATENATE("=",V16),BH7:BH54)+SUMIF(BC7:BC54,CONCATENATE("=",V16),BD7:BD54)</f>
        <v>0</v>
      </c>
      <c r="AK16" s="10">
        <f>300*AH16+(AI16-AJ16)*10+AI16</f>
        <v>0</v>
      </c>
      <c r="AL16" s="10">
        <f>IF(AK16&gt;0,AK16,0)</f>
        <v>0</v>
      </c>
      <c r="AM16" s="10"/>
      <c r="AN16" s="10">
        <f>VLOOKUP(F16,V7:AG59,12,FALSE)+VLOOKUP(C16,V7:AG59,12,FALSE)</f>
        <v>0</v>
      </c>
      <c r="AO16" s="10" t="str">
        <f t="shared" si="0"/>
        <v>Japán</v>
      </c>
      <c r="AP16" s="10">
        <f t="shared" si="1"/>
        <v>1</v>
      </c>
      <c r="AQ16" s="10" t="str">
        <f t="shared" si="2"/>
        <v>Japán</v>
      </c>
      <c r="AR16" s="10">
        <f t="shared" si="3"/>
        <v>0</v>
      </c>
      <c r="AS16" s="10" t="str">
        <f t="shared" si="4"/>
        <v>Kamerun</v>
      </c>
      <c r="AT16" s="10">
        <f t="shared" si="5"/>
        <v>0</v>
      </c>
      <c r="AU16" s="10" t="str">
        <f t="shared" si="6"/>
        <v>Kamerun</v>
      </c>
      <c r="AV16" s="10">
        <f t="shared" si="7"/>
        <v>1</v>
      </c>
      <c r="AW16" s="10" t="str">
        <f t="shared" si="8"/>
        <v>Japán_win</v>
      </c>
      <c r="AX16" s="10" t="str">
        <f t="shared" si="9"/>
        <v>Kamerun_lose</v>
      </c>
      <c r="AY16" s="10">
        <f t="shared" si="10"/>
      </c>
      <c r="AZ16" s="10">
        <f t="shared" si="11"/>
      </c>
      <c r="BA16" s="10">
        <f t="shared" si="12"/>
      </c>
      <c r="BB16" s="10">
        <f t="shared" si="13"/>
      </c>
      <c r="BC16" s="10">
        <f t="shared" si="14"/>
      </c>
      <c r="BD16" s="10">
        <f t="shared" si="15"/>
      </c>
      <c r="BE16" s="10">
        <f t="shared" si="16"/>
      </c>
      <c r="BF16" s="10">
        <f t="shared" si="17"/>
      </c>
      <c r="BG16" s="10">
        <f t="shared" si="18"/>
      </c>
      <c r="BH16" s="10">
        <f t="shared" si="19"/>
      </c>
      <c r="BI16" s="10" t="s">
        <v>44</v>
      </c>
      <c r="BJ16" s="10">
        <v>-2</v>
      </c>
      <c r="BK16" s="10" t="s">
        <v>45</v>
      </c>
      <c r="BL16" s="10">
        <v>10</v>
      </c>
      <c r="BM16" s="10"/>
      <c r="BN16" s="10"/>
      <c r="BO16" s="12"/>
    </row>
    <row r="17" spans="1:67" s="6" customFormat="1" ht="13.5" customHeight="1">
      <c r="A17" s="35">
        <v>39978</v>
      </c>
      <c r="B17" s="36"/>
      <c r="C17" s="43" t="str">
        <f>V42</f>
        <v>Olaszország</v>
      </c>
      <c r="D17" s="38">
        <v>1</v>
      </c>
      <c r="E17" s="38">
        <v>1</v>
      </c>
      <c r="F17" s="39" t="str">
        <f>V43</f>
        <v>Paraguay</v>
      </c>
      <c r="J17" s="47" t="str">
        <f>VLOOKUP(1,U14:AB17,2,FALSE)</f>
        <v>Nigéria</v>
      </c>
      <c r="K17" s="48">
        <f>VLOOKUP(1,U14:AB17,3,FALSE)</f>
        <v>0</v>
      </c>
      <c r="L17" s="48">
        <f>VLOOKUP(1,U14:AB17,4,FALSE)</f>
        <v>1</v>
      </c>
      <c r="M17" s="48">
        <f>VLOOKUP(1,U14:AB17,5,FALSE)</f>
        <v>2</v>
      </c>
      <c r="N17" s="48" t="str">
        <f>CONCATENATE(VLOOKUP(1,U14:AB17,6,FALSE)," - ",VLOOKUP(1,U14:AB17,7,FALSE))</f>
        <v>3 - 5</v>
      </c>
      <c r="O17" s="48">
        <f>VLOOKUP(1,U14:AB17,8,FALSE)</f>
        <v>1</v>
      </c>
      <c r="P17" s="49"/>
      <c r="Q17" s="8"/>
      <c r="R17" s="8" t="s">
        <v>46</v>
      </c>
      <c r="S17" s="9">
        <f>5-(IF(T17&gt;T14,1,0)+IF(T17&gt;T15,1,0)+IF(T17&gt;T16,1,0)+IF(T17&gt;T17,1,0)+1)</f>
        <v>3</v>
      </c>
      <c r="T17" s="9">
        <f>IF(VLOOKUP(V17,J14:P17,7,FALSE)="",GMT_MIN,10-VLOOKUP(V17,J14:P17,7,FALSE))*10+U17</f>
        <v>2</v>
      </c>
      <c r="U17" s="9">
        <f>IF(AC17&gt;AC14,1,0)+IF(AC17&gt;AC15,1,0)+IF(AC17&gt;AC16,1,0)+IF(AC17&gt;AC17,1,0)+1</f>
        <v>2</v>
      </c>
      <c r="V17" s="10" t="str">
        <f>R17</f>
        <v>Görögország</v>
      </c>
      <c r="W17" s="11">
        <f>COUNTIF(AW7:AX54,CONCATENATE(V17,"_win"))</f>
        <v>1</v>
      </c>
      <c r="X17" s="11">
        <f>COUNTIF(AW7:AX54,CONCATENATE(V17,"_draw"))</f>
        <v>0</v>
      </c>
      <c r="Y17" s="11">
        <f>COUNTIF(AW7:AX54,CONCATENATE(V17,"_lose"))</f>
        <v>2</v>
      </c>
      <c r="Z17" s="11">
        <f>SUMIF(AS7:AS54,CONCATENATE("=",V17),AT7:AT54)+SUMIF(AO7:AO54,CONCATENATE("=",V17),AP7:AP54)</f>
        <v>2</v>
      </c>
      <c r="AA17" s="11">
        <f>SUMIF(AU7:AU54,CONCATENATE("=",V17),AV7:AV54)+SUMIF(AQ7:AQ54,CONCATENATE("=",V17),AR7:AR54)</f>
        <v>5</v>
      </c>
      <c r="AB17" s="11">
        <f>W17*3+X17</f>
        <v>3</v>
      </c>
      <c r="AC17" s="11">
        <f>0.1+AL17+Z17*1000+(Z17-AA17)*100000+AB17*10000000</f>
        <v>29702000.1</v>
      </c>
      <c r="AD17" s="10">
        <f>IF(COUNTIF(AB14:AB17,CONCATENATE("=",AB17))=1,0,COUNTIF(AB14:AB17,CONCATENATE("=",AB17)))*AB17</f>
        <v>0</v>
      </c>
      <c r="AE17" s="10"/>
      <c r="AF17" s="11"/>
      <c r="AG17" s="11">
        <f>IF(AB17=AF14,1,0)</f>
        <v>0</v>
      </c>
      <c r="AH17" s="11">
        <f>COUNTIF(AY7:AZ54,CONCATENATE(V17,"_win"))</f>
        <v>0</v>
      </c>
      <c r="AI17" s="11">
        <f>SUMIF(BE7:BE54,CONCATENATE("=",V17),BF7:BF54)+SUMIF(BA7:BA54,CONCATENATE("=",V17),BB7:BB54)</f>
        <v>0</v>
      </c>
      <c r="AJ17" s="11">
        <f>SUMIF(BG7:BG54,CONCATENATE("=",V17),BH7:BH54)+SUMIF(BC7:BC54,CONCATENATE("=",V17),BD7:BD54)</f>
        <v>0</v>
      </c>
      <c r="AK17" s="10">
        <f>300*AH17+(AI17-AJ17)*10+AI17</f>
        <v>0</v>
      </c>
      <c r="AL17" s="10">
        <f>IF(AK17&gt;0,AK17,0)</f>
        <v>0</v>
      </c>
      <c r="AM17" s="10"/>
      <c r="AN17" s="10">
        <f>VLOOKUP(F17,V7:AG59,12,FALSE)+VLOOKUP(C17,V7:AG59,12,FALSE)</f>
        <v>1</v>
      </c>
      <c r="AO17" s="10" t="str">
        <f t="shared" si="0"/>
        <v>Olaszország</v>
      </c>
      <c r="AP17" s="10">
        <f t="shared" si="1"/>
        <v>1</v>
      </c>
      <c r="AQ17" s="10" t="str">
        <f t="shared" si="2"/>
        <v>Olaszország</v>
      </c>
      <c r="AR17" s="10">
        <f t="shared" si="3"/>
        <v>1</v>
      </c>
      <c r="AS17" s="10" t="str">
        <f t="shared" si="4"/>
        <v>Paraguay</v>
      </c>
      <c r="AT17" s="10">
        <f t="shared" si="5"/>
        <v>1</v>
      </c>
      <c r="AU17" s="10" t="str">
        <f t="shared" si="6"/>
        <v>Paraguay</v>
      </c>
      <c r="AV17" s="10">
        <f t="shared" si="7"/>
        <v>1</v>
      </c>
      <c r="AW17" s="10" t="str">
        <f t="shared" si="8"/>
        <v>Olaszország_draw</v>
      </c>
      <c r="AX17" s="10" t="str">
        <f t="shared" si="9"/>
        <v>Paraguay_draw</v>
      </c>
      <c r="AY17" s="10">
        <f t="shared" si="10"/>
      </c>
      <c r="AZ17" s="10">
        <f t="shared" si="11"/>
      </c>
      <c r="BA17" s="10">
        <f t="shared" si="12"/>
      </c>
      <c r="BB17" s="10">
        <f t="shared" si="13"/>
      </c>
      <c r="BC17" s="10">
        <f t="shared" si="14"/>
      </c>
      <c r="BD17" s="10">
        <f t="shared" si="15"/>
      </c>
      <c r="BE17" s="10">
        <f t="shared" si="16"/>
      </c>
      <c r="BF17" s="10">
        <f t="shared" si="17"/>
      </c>
      <c r="BG17" s="10">
        <f t="shared" si="18"/>
      </c>
      <c r="BH17" s="10">
        <f t="shared" si="19"/>
      </c>
      <c r="BI17" s="10" t="s">
        <v>47</v>
      </c>
      <c r="BJ17" s="10">
        <v>-1</v>
      </c>
      <c r="BK17" s="10" t="s">
        <v>48</v>
      </c>
      <c r="BL17" s="10">
        <v>11</v>
      </c>
      <c r="BM17" s="10"/>
      <c r="BN17" s="10"/>
      <c r="BO17" s="12"/>
    </row>
    <row r="18" spans="1:109" ht="13.5" customHeight="1">
      <c r="A18" s="35">
        <v>39979</v>
      </c>
      <c r="B18" s="36"/>
      <c r="C18" s="43" t="str">
        <f>V44</f>
        <v>Új-Zéleand</v>
      </c>
      <c r="D18" s="38">
        <v>1</v>
      </c>
      <c r="E18" s="38">
        <v>1</v>
      </c>
      <c r="F18" s="39" t="str">
        <f>V45</f>
        <v>Szlovákia</v>
      </c>
      <c r="J18" s="50"/>
      <c r="K18" s="51"/>
      <c r="L18" s="51"/>
      <c r="M18" s="51"/>
      <c r="N18" s="51"/>
      <c r="O18" s="51"/>
      <c r="P18" s="51"/>
      <c r="AD18" s="10">
        <f>MAX(AD14:AD17)</f>
        <v>0</v>
      </c>
      <c r="AN18" s="10">
        <f>VLOOKUP(F18,V7:AG59,12,FALSE)+VLOOKUP(C18,V7:AG59,12,FALSE)</f>
        <v>0</v>
      </c>
      <c r="AO18" s="10" t="str">
        <f t="shared" si="0"/>
        <v>Új-Zéleand</v>
      </c>
      <c r="AP18" s="10">
        <f t="shared" si="1"/>
        <v>1</v>
      </c>
      <c r="AQ18" s="10" t="str">
        <f t="shared" si="2"/>
        <v>Új-Zéleand</v>
      </c>
      <c r="AR18" s="10">
        <f t="shared" si="3"/>
        <v>1</v>
      </c>
      <c r="AS18" s="10" t="str">
        <f t="shared" si="4"/>
        <v>Szlovákia</v>
      </c>
      <c r="AT18" s="10">
        <f t="shared" si="5"/>
        <v>1</v>
      </c>
      <c r="AU18" s="10" t="str">
        <f t="shared" si="6"/>
        <v>Szlovákia</v>
      </c>
      <c r="AV18" s="10">
        <f t="shared" si="7"/>
        <v>1</v>
      </c>
      <c r="AW18" s="10" t="str">
        <f t="shared" si="8"/>
        <v>Új-Zéleand_draw</v>
      </c>
      <c r="AX18" s="10" t="str">
        <f t="shared" si="9"/>
        <v>Szlovákia_draw</v>
      </c>
      <c r="AY18" s="10">
        <f t="shared" si="10"/>
      </c>
      <c r="AZ18" s="10">
        <f t="shared" si="11"/>
      </c>
      <c r="BA18" s="10">
        <f t="shared" si="12"/>
      </c>
      <c r="BB18" s="10">
        <f t="shared" si="13"/>
      </c>
      <c r="BC18" s="10">
        <f t="shared" si="14"/>
      </c>
      <c r="BD18" s="10">
        <f t="shared" si="15"/>
      </c>
      <c r="BE18" s="10">
        <f t="shared" si="16"/>
      </c>
      <c r="BF18" s="10">
        <f t="shared" si="17"/>
      </c>
      <c r="BG18" s="10">
        <f t="shared" si="18"/>
      </c>
      <c r="BH18" s="10">
        <f t="shared" si="19"/>
      </c>
      <c r="BI18" s="10" t="s">
        <v>49</v>
      </c>
      <c r="BJ18" s="10">
        <v>0</v>
      </c>
      <c r="BK18" s="10" t="s">
        <v>50</v>
      </c>
      <c r="BL18" s="10">
        <v>12</v>
      </c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19" spans="1:109" ht="13.5" customHeight="1">
      <c r="A19" s="35">
        <v>39979</v>
      </c>
      <c r="B19" s="36"/>
      <c r="C19" s="43" t="str">
        <f>V49</f>
        <v>Elefántcsontpart</v>
      </c>
      <c r="D19" s="38">
        <v>0</v>
      </c>
      <c r="E19" s="38">
        <v>0</v>
      </c>
      <c r="F19" s="39" t="str">
        <f>V50</f>
        <v>Portugália</v>
      </c>
      <c r="J19" s="30" t="str">
        <f>CONCATENATE(INDEX(T,40,language)," C")</f>
        <v>Group C</v>
      </c>
      <c r="K19" s="31" t="str">
        <f>INDEX(T,35,language)</f>
        <v>W</v>
      </c>
      <c r="L19" s="31" t="str">
        <f>INDEX(T,36,language)</f>
        <v>D</v>
      </c>
      <c r="M19" s="31" t="str">
        <f>INDEX(T,37,language)</f>
        <v>L</v>
      </c>
      <c r="N19" s="31" t="str">
        <f>INDEX(T,38,language)</f>
        <v>F - A</v>
      </c>
      <c r="O19" s="31" t="str">
        <f>INDEX(T,39,language)</f>
        <v>Pnt</v>
      </c>
      <c r="P19" s="32" t="s">
        <v>3</v>
      </c>
      <c r="AN19" s="10">
        <f>VLOOKUP(F19,V7:AG59,12,FALSE)+VLOOKUP(C19,V7:AG59,12,FALSE)</f>
        <v>1</v>
      </c>
      <c r="AO19" s="10" t="str">
        <f t="shared" si="0"/>
        <v>Elefántcsontpart</v>
      </c>
      <c r="AP19" s="10">
        <f t="shared" si="1"/>
        <v>0</v>
      </c>
      <c r="AQ19" s="10" t="str">
        <f t="shared" si="2"/>
        <v>Elefántcsontpart</v>
      </c>
      <c r="AR19" s="10">
        <f t="shared" si="3"/>
        <v>0</v>
      </c>
      <c r="AS19" s="10" t="str">
        <f t="shared" si="4"/>
        <v>Portugália</v>
      </c>
      <c r="AT19" s="10">
        <f t="shared" si="5"/>
        <v>0</v>
      </c>
      <c r="AU19" s="10" t="str">
        <f t="shared" si="6"/>
        <v>Portugália</v>
      </c>
      <c r="AV19" s="10">
        <f t="shared" si="7"/>
        <v>0</v>
      </c>
      <c r="AW19" s="10" t="str">
        <f t="shared" si="8"/>
        <v>Elefántcsontpart_draw</v>
      </c>
      <c r="AX19" s="10" t="str">
        <f t="shared" si="9"/>
        <v>Portugália_draw</v>
      </c>
      <c r="AY19" s="10">
        <f t="shared" si="10"/>
      </c>
      <c r="AZ19" s="10">
        <f t="shared" si="11"/>
      </c>
      <c r="BA19" s="10">
        <f t="shared" si="12"/>
      </c>
      <c r="BB19" s="10">
        <f t="shared" si="13"/>
      </c>
      <c r="BC19" s="10">
        <f t="shared" si="14"/>
      </c>
      <c r="BD19" s="10">
        <f t="shared" si="15"/>
      </c>
      <c r="BE19" s="10">
        <f t="shared" si="16"/>
      </c>
      <c r="BF19" s="10">
        <f t="shared" si="17"/>
      </c>
      <c r="BG19" s="10">
        <f t="shared" si="18"/>
      </c>
      <c r="BH19" s="10">
        <f t="shared" si="19"/>
      </c>
      <c r="BI19" s="10" t="s">
        <v>51</v>
      </c>
      <c r="BJ19" s="10">
        <v>1</v>
      </c>
      <c r="BK19" s="10" t="s">
        <v>52</v>
      </c>
      <c r="BL19" s="10">
        <v>13</v>
      </c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</row>
    <row r="20" spans="1:109" ht="13.5" customHeight="1">
      <c r="A20" s="35">
        <v>39979</v>
      </c>
      <c r="B20" s="36"/>
      <c r="C20" s="43" t="str">
        <f>V51</f>
        <v>Brazília</v>
      </c>
      <c r="D20" s="38">
        <v>2</v>
      </c>
      <c r="E20" s="38">
        <v>1</v>
      </c>
      <c r="F20" s="39" t="str">
        <f>V52</f>
        <v>Észak-Korea</v>
      </c>
      <c r="J20" s="30"/>
      <c r="K20" s="31"/>
      <c r="L20" s="31"/>
      <c r="M20" s="31"/>
      <c r="N20" s="31"/>
      <c r="O20" s="31"/>
      <c r="P20" s="32"/>
      <c r="AN20" s="10">
        <f>VLOOKUP(F20,V7:AG59,12,FALSE)+VLOOKUP(C20,V7:AG59,12,FALSE)</f>
        <v>0</v>
      </c>
      <c r="AO20" s="10" t="str">
        <f t="shared" si="0"/>
        <v>Brazília</v>
      </c>
      <c r="AP20" s="10">
        <f t="shared" si="1"/>
        <v>2</v>
      </c>
      <c r="AQ20" s="10" t="str">
        <f t="shared" si="2"/>
        <v>Brazília</v>
      </c>
      <c r="AR20" s="10">
        <f t="shared" si="3"/>
        <v>1</v>
      </c>
      <c r="AS20" s="10" t="str">
        <f t="shared" si="4"/>
        <v>Észak-Korea</v>
      </c>
      <c r="AT20" s="10">
        <f t="shared" si="5"/>
        <v>1</v>
      </c>
      <c r="AU20" s="10" t="str">
        <f t="shared" si="6"/>
        <v>Észak-Korea</v>
      </c>
      <c r="AV20" s="10">
        <f t="shared" si="7"/>
        <v>2</v>
      </c>
      <c r="AW20" s="10" t="str">
        <f t="shared" si="8"/>
        <v>Brazília_win</v>
      </c>
      <c r="AX20" s="10" t="str">
        <f t="shared" si="9"/>
        <v>Észak-Korea_lose</v>
      </c>
      <c r="AY20" s="10">
        <f t="shared" si="10"/>
      </c>
      <c r="AZ20" s="10">
        <f t="shared" si="11"/>
      </c>
      <c r="BA20" s="10">
        <f t="shared" si="12"/>
      </c>
      <c r="BB20" s="10">
        <f t="shared" si="13"/>
      </c>
      <c r="BC20" s="10">
        <f t="shared" si="14"/>
      </c>
      <c r="BD20" s="10">
        <f t="shared" si="15"/>
      </c>
      <c r="BE20" s="10">
        <f t="shared" si="16"/>
      </c>
      <c r="BF20" s="10">
        <f t="shared" si="17"/>
      </c>
      <c r="BG20" s="10">
        <f t="shared" si="18"/>
      </c>
      <c r="BH20" s="10">
        <f t="shared" si="19"/>
      </c>
      <c r="BI20" s="10" t="s">
        <v>14</v>
      </c>
      <c r="BJ20" s="10">
        <v>2</v>
      </c>
      <c r="BK20" s="10" t="s">
        <v>53</v>
      </c>
      <c r="BL20" s="10">
        <v>14</v>
      </c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</row>
    <row r="21" spans="1:67" s="6" customFormat="1" ht="13.5" customHeight="1">
      <c r="A21" s="35">
        <v>39980</v>
      </c>
      <c r="B21" s="36"/>
      <c r="C21" s="43" t="str">
        <f>V56</f>
        <v>Honduras</v>
      </c>
      <c r="D21" s="38">
        <v>0</v>
      </c>
      <c r="E21" s="38">
        <v>1</v>
      </c>
      <c r="F21" s="39" t="str">
        <f>V57</f>
        <v>Chile</v>
      </c>
      <c r="J21" s="40" t="str">
        <f>VLOOKUP(4,U21:AB24,2,FALSE)</f>
        <v>USA</v>
      </c>
      <c r="K21" s="41">
        <f>VLOOKUP(4,U21:AB24,3,FALSE)</f>
        <v>1</v>
      </c>
      <c r="L21" s="41">
        <f>VLOOKUP(4,U21:AB24,4,FALSE)</f>
        <v>2</v>
      </c>
      <c r="M21" s="41">
        <f>VLOOKUP(4,U21:AB24,5,FALSE)</f>
        <v>0</v>
      </c>
      <c r="N21" s="41" t="str">
        <f>CONCATENATE(VLOOKUP(4,U21:AB24,6,FALSE)," - ",VLOOKUP(4,U21:AB24,7,FALSE))</f>
        <v>4 - 3</v>
      </c>
      <c r="O21" s="41">
        <f>VLOOKUP(4,U21:AB24,8,FALSE)</f>
        <v>5</v>
      </c>
      <c r="P21" s="42"/>
      <c r="Q21" s="8"/>
      <c r="R21" s="8" t="s">
        <v>54</v>
      </c>
      <c r="S21" s="9">
        <f>5-(IF(T21&gt;T21,1,0)+IF(T21&gt;T22,1,0)+IF(T21&gt;T23,1,0)+IF(T21&gt;T24,1,0)+1)</f>
        <v>2</v>
      </c>
      <c r="T21" s="9">
        <f>IF(VLOOKUP(V21,J21:P24,7,FALSE)="",GMT_MIN,10-VLOOKUP(V21,J21:P24,7,FALSE))*10+U21</f>
        <v>3</v>
      </c>
      <c r="U21" s="9">
        <f>IF(AC21&gt;AC21,1,0)+IF(AC21&gt;AC22,1,0)+IF(AC21&gt;AC23,1,0)+IF(AC21&gt;AC24,1,0)+1</f>
        <v>3</v>
      </c>
      <c r="V21" s="10" t="str">
        <f>R21</f>
        <v>Anglia</v>
      </c>
      <c r="W21" s="11">
        <f>COUNTIF(AW7:AX54,CONCATENATE(V21,"_win"))</f>
        <v>1</v>
      </c>
      <c r="X21" s="11">
        <f>COUNTIF(AW7:AX54,CONCATENATE(V21,"_draw"))</f>
        <v>2</v>
      </c>
      <c r="Y21" s="11">
        <f>COUNTIF(AW7:AX54,CONCATENATE(V21,"_lose"))</f>
        <v>0</v>
      </c>
      <c r="Z21" s="11">
        <f>SUMIF(AS7:AS54,CONCATENATE("=",V21),AT7:AT54)+SUMIF(AO7:AO54,CONCATENATE("=",V21),AP7:AP54)</f>
        <v>2</v>
      </c>
      <c r="AA21" s="11">
        <f>SUMIF(AU7:AU54,CONCATENATE("=",V21),AV7:AV54)+SUMIF(AQ7:AQ54,CONCATENATE("=",V21),AR7:AR54)</f>
        <v>1</v>
      </c>
      <c r="AB21" s="11">
        <f>W21*3+X21</f>
        <v>5</v>
      </c>
      <c r="AC21" s="11">
        <f>0.4+AL21+Z21*1000+(Z21-AA21)*100000+AB21*10000000</f>
        <v>50102001.4</v>
      </c>
      <c r="AD21" s="10">
        <f>IF(COUNTIF(AB21:AB24,CONCATENATE("=",AB21))=1,0,COUNTIF(AB21:AB24,CONCATENATE("=",AB21)))*AB21</f>
        <v>10</v>
      </c>
      <c r="AE21" s="10" t="str">
        <f>IF(SUM(W21:Y24)=12,VLOOKUP(1,S21:V24,4,FALSE),INDEX(T,52,language))</f>
        <v>USA</v>
      </c>
      <c r="AF21" s="11">
        <f>IF(AD21=AD25,AB21,IF(AD22=AD25,AB22,IF(AD23=AD25,AB23,AB24)))</f>
        <v>5</v>
      </c>
      <c r="AG21" s="11">
        <f>IF(AB21=AF21,1,0)</f>
        <v>1</v>
      </c>
      <c r="AH21" s="11">
        <f>COUNTIF(AY7:AZ54,CONCATENATE(V21,"_win"))</f>
        <v>0</v>
      </c>
      <c r="AI21" s="11">
        <f>SUMIF(BE7:BE54,CONCATENATE("=",V21),BF7:BF54)+SUMIF(BA7:BA54,CONCATENATE("=",V21),BB7:BB54)</f>
        <v>1</v>
      </c>
      <c r="AJ21" s="11">
        <f>SUMIF(BG7:BG54,CONCATENATE("=",V21),BH7:BH54)+SUMIF(BC7:BC54,CONCATENATE("=",V21),BD7:BD54)</f>
        <v>1</v>
      </c>
      <c r="AK21" s="10">
        <f>300*AH21+(AI21-AJ21)*10+AI21</f>
        <v>1</v>
      </c>
      <c r="AL21" s="10">
        <f>IF(AK21&gt;0,AK21,0)</f>
        <v>1</v>
      </c>
      <c r="AM21" s="10"/>
      <c r="AN21" s="10">
        <f>VLOOKUP(F21,V7:AG59,12,FALSE)+VLOOKUP(C21,V7:AG59,12,FALSE)</f>
        <v>1</v>
      </c>
      <c r="AO21" s="10" t="str">
        <f t="shared" si="0"/>
        <v>Honduras</v>
      </c>
      <c r="AP21" s="10">
        <f t="shared" si="1"/>
        <v>0</v>
      </c>
      <c r="AQ21" s="10" t="str">
        <f t="shared" si="2"/>
        <v>Honduras</v>
      </c>
      <c r="AR21" s="10">
        <f t="shared" si="3"/>
        <v>1</v>
      </c>
      <c r="AS21" s="10" t="str">
        <f t="shared" si="4"/>
        <v>Chile</v>
      </c>
      <c r="AT21" s="10">
        <f t="shared" si="5"/>
        <v>1</v>
      </c>
      <c r="AU21" s="10" t="str">
        <f t="shared" si="6"/>
        <v>Chile</v>
      </c>
      <c r="AV21" s="10">
        <f t="shared" si="7"/>
        <v>0</v>
      </c>
      <c r="AW21" s="10" t="str">
        <f t="shared" si="8"/>
        <v>Honduras_lose</v>
      </c>
      <c r="AX21" s="10" t="str">
        <f t="shared" si="9"/>
        <v>Chile_win</v>
      </c>
      <c r="AY21" s="10">
        <f t="shared" si="10"/>
      </c>
      <c r="AZ21" s="10">
        <f t="shared" si="11"/>
      </c>
      <c r="BA21" s="10">
        <f t="shared" si="12"/>
      </c>
      <c r="BB21" s="10">
        <f t="shared" si="13"/>
      </c>
      <c r="BC21" s="10">
        <f t="shared" si="14"/>
      </c>
      <c r="BD21" s="10">
        <f t="shared" si="15"/>
      </c>
      <c r="BE21" s="10">
        <f t="shared" si="16"/>
      </c>
      <c r="BF21" s="10">
        <f t="shared" si="17"/>
      </c>
      <c r="BG21" s="10">
        <f t="shared" si="18"/>
      </c>
      <c r="BH21" s="10">
        <f t="shared" si="19"/>
      </c>
      <c r="BI21" s="10" t="s">
        <v>55</v>
      </c>
      <c r="BJ21" s="10">
        <v>3</v>
      </c>
      <c r="BK21" s="10" t="s">
        <v>56</v>
      </c>
      <c r="BL21" s="10">
        <v>15</v>
      </c>
      <c r="BM21" s="10"/>
      <c r="BN21" s="10"/>
      <c r="BO21" s="12"/>
    </row>
    <row r="22" spans="1:67" s="6" customFormat="1" ht="13.5" customHeight="1">
      <c r="A22" s="35">
        <v>39980</v>
      </c>
      <c r="B22" s="36"/>
      <c r="C22" s="43" t="str">
        <f>V58</f>
        <v>Spanyolország</v>
      </c>
      <c r="D22" s="38">
        <v>0</v>
      </c>
      <c r="E22" s="38">
        <v>1</v>
      </c>
      <c r="F22" s="39" t="str">
        <f>V59</f>
        <v>Svájc</v>
      </c>
      <c r="J22" s="44" t="str">
        <f>VLOOKUP(3,U21:AB24,2,FALSE)</f>
        <v>Anglia</v>
      </c>
      <c r="K22" s="45">
        <f>VLOOKUP(3,U21:AB24,3,FALSE)</f>
        <v>1</v>
      </c>
      <c r="L22" s="45">
        <f>VLOOKUP(3,U21:AB24,4,FALSE)</f>
        <v>2</v>
      </c>
      <c r="M22" s="45">
        <f>VLOOKUP(3,U21:AB24,5,FALSE)</f>
        <v>0</v>
      </c>
      <c r="N22" s="45" t="str">
        <f>CONCATENATE(VLOOKUP(3,U21:AB24,6,FALSE)," - ",VLOOKUP(3,U21:AB24,7,FALSE))</f>
        <v>2 - 1</v>
      </c>
      <c r="O22" s="45">
        <f>VLOOKUP(3,U21:AB24,8,FALSE)</f>
        <v>5</v>
      </c>
      <c r="P22" s="46"/>
      <c r="Q22" s="8"/>
      <c r="R22" s="8" t="s">
        <v>57</v>
      </c>
      <c r="S22" s="9">
        <f>5-(IF(T22&gt;T21,1,0)+IF(T22&gt;T22,1,0)+IF(T22&gt;T23,1,0)+IF(T22&gt;T24,1,0)+1)</f>
        <v>1</v>
      </c>
      <c r="T22" s="9">
        <f>IF(VLOOKUP(V22,J21:P24,7,FALSE)="",GMT_MIN,10-VLOOKUP(V22,J21:P24,7,FALSE))*10+U22</f>
        <v>4</v>
      </c>
      <c r="U22" s="9">
        <f>IF(AC22&gt;AC21,1,0)+IF(AC22&gt;AC22,1,0)+IF(AC22&gt;AC23,1,0)+IF(AC22&gt;AC24,1,0)+1</f>
        <v>4</v>
      </c>
      <c r="V22" s="10" t="str">
        <f>R22</f>
        <v>USA</v>
      </c>
      <c r="W22" s="11">
        <f>COUNTIF(AW7:AX54,CONCATENATE(V22,"_win"))</f>
        <v>1</v>
      </c>
      <c r="X22" s="11">
        <f>COUNTIF(AW7:AX54,CONCATENATE(V22,"_draw"))</f>
        <v>2</v>
      </c>
      <c r="Y22" s="11">
        <f>COUNTIF(AW7:AX54,CONCATENATE(V22,"_lose"))</f>
        <v>0</v>
      </c>
      <c r="Z22" s="11">
        <f>SUMIF(AS7:AS54,CONCATENATE("=",V22),AT7:AT54)+SUMIF(AO7:AO54,CONCATENATE("=",V22),AP7:AP54)</f>
        <v>4</v>
      </c>
      <c r="AA22" s="11">
        <f>SUMIF(AU7:AU54,CONCATENATE("=",V22),AV7:AV54)+SUMIF(AQ7:AQ54,CONCATENATE("=",V22),AR7:AR54)</f>
        <v>3</v>
      </c>
      <c r="AB22" s="11">
        <f>W22*3+X22</f>
        <v>5</v>
      </c>
      <c r="AC22" s="11">
        <f>0.3+AL22+Z22*1000+(Z22-AA22)*100000+AB22*10000000</f>
        <v>50104001.3</v>
      </c>
      <c r="AD22" s="10">
        <f>IF(COUNTIF(AB21:AB24,CONCATENATE("=",AB22))=1,0,COUNTIF(AB21:AB24,CONCATENATE("=",AB22)))*AB22</f>
        <v>10</v>
      </c>
      <c r="AE22" s="10" t="str">
        <f>IF(SUM(W21:Y24)=12,VLOOKUP(2,S21:V24,4,FALSE),INDEX(T,53,language))</f>
        <v>Anglia</v>
      </c>
      <c r="AF22" s="11"/>
      <c r="AG22" s="11">
        <f>IF(AB22=AF21,1,0)</f>
        <v>1</v>
      </c>
      <c r="AH22" s="11">
        <f>COUNTIF(AY7:AZ54,CONCATENATE(V22,"_win"))</f>
        <v>0</v>
      </c>
      <c r="AI22" s="11">
        <f>SUMIF(BE7:BE54,CONCATENATE("=",V22),BF7:BF54)+SUMIF(BA7:BA54,CONCATENATE("=",V22),BB7:BB54)</f>
        <v>1</v>
      </c>
      <c r="AJ22" s="11">
        <f>SUMIF(BG7:BG54,CONCATENATE("=",V22),BH7:BH54)+SUMIF(BC7:BC54,CONCATENATE("=",V22),BD7:BD54)</f>
        <v>1</v>
      </c>
      <c r="AK22" s="10">
        <f>300*AH22+(AI22-AJ22)*10+AI22</f>
        <v>1</v>
      </c>
      <c r="AL22" s="10">
        <f>IF(AK22&gt;0,AK22,0)</f>
        <v>1</v>
      </c>
      <c r="AM22" s="10"/>
      <c r="AN22" s="10">
        <f>VLOOKUP(F22,V7:AG59,12,FALSE)+VLOOKUP(C22,V7:AG59,12,FALSE)</f>
        <v>1</v>
      </c>
      <c r="AO22" s="10" t="str">
        <f t="shared" si="0"/>
        <v>Spanyolország</v>
      </c>
      <c r="AP22" s="10">
        <f t="shared" si="1"/>
        <v>0</v>
      </c>
      <c r="AQ22" s="10" t="str">
        <f t="shared" si="2"/>
        <v>Spanyolország</v>
      </c>
      <c r="AR22" s="10">
        <f t="shared" si="3"/>
        <v>1</v>
      </c>
      <c r="AS22" s="10" t="str">
        <f t="shared" si="4"/>
        <v>Svájc</v>
      </c>
      <c r="AT22" s="10">
        <f t="shared" si="5"/>
        <v>1</v>
      </c>
      <c r="AU22" s="10" t="str">
        <f t="shared" si="6"/>
        <v>Svájc</v>
      </c>
      <c r="AV22" s="10">
        <f t="shared" si="7"/>
        <v>0</v>
      </c>
      <c r="AW22" s="10" t="str">
        <f t="shared" si="8"/>
        <v>Spanyolország_lose</v>
      </c>
      <c r="AX22" s="10" t="str">
        <f t="shared" si="9"/>
        <v>Svájc_win</v>
      </c>
      <c r="AY22" s="10">
        <f t="shared" si="10"/>
      </c>
      <c r="AZ22" s="10">
        <f t="shared" si="11"/>
      </c>
      <c r="BA22" s="10">
        <f t="shared" si="12"/>
      </c>
      <c r="BB22" s="10">
        <f t="shared" si="13"/>
        <v>0</v>
      </c>
      <c r="BC22" s="10">
        <f t="shared" si="14"/>
      </c>
      <c r="BD22" s="10">
        <f t="shared" si="15"/>
        <v>0</v>
      </c>
      <c r="BE22" s="10">
        <f t="shared" si="16"/>
      </c>
      <c r="BF22" s="10">
        <f t="shared" si="17"/>
        <v>0</v>
      </c>
      <c r="BG22" s="10">
        <f t="shared" si="18"/>
      </c>
      <c r="BH22" s="10">
        <f t="shared" si="19"/>
        <v>0</v>
      </c>
      <c r="BI22" s="10" t="s">
        <v>58</v>
      </c>
      <c r="BJ22" s="10">
        <v>4</v>
      </c>
      <c r="BK22" s="10" t="s">
        <v>59</v>
      </c>
      <c r="BL22" s="10">
        <v>16</v>
      </c>
      <c r="BM22" s="10"/>
      <c r="BN22" s="10"/>
      <c r="BO22" s="12"/>
    </row>
    <row r="23" spans="1:67" s="6" customFormat="1" ht="13.5" customHeight="1">
      <c r="A23" s="35">
        <v>39980</v>
      </c>
      <c r="B23" s="36"/>
      <c r="C23" s="37" t="str">
        <f>V7</f>
        <v>Dél-Afrika</v>
      </c>
      <c r="D23" s="38">
        <v>0</v>
      </c>
      <c r="E23" s="38">
        <v>3</v>
      </c>
      <c r="F23" s="39" t="str">
        <f>V9</f>
        <v>Uruguay</v>
      </c>
      <c r="J23" s="44" t="str">
        <f>VLOOKUP(2,U21:AB24,2,FALSE)</f>
        <v>Szlovénia</v>
      </c>
      <c r="K23" s="45">
        <f>VLOOKUP(2,U21:AB24,3,FALSE)</f>
        <v>1</v>
      </c>
      <c r="L23" s="45">
        <f>VLOOKUP(2,U21:AB24,4,FALSE)</f>
        <v>1</v>
      </c>
      <c r="M23" s="45">
        <f>VLOOKUP(2,U21:AB24,5,FALSE)</f>
        <v>1</v>
      </c>
      <c r="N23" s="45" t="str">
        <f>CONCATENATE(VLOOKUP(2,U21:AB24,6,FALSE)," - ",VLOOKUP(2,U21:AB24,7,FALSE))</f>
        <v>3 - 3</v>
      </c>
      <c r="O23" s="45">
        <f>VLOOKUP(2,U21:AB24,8,FALSE)</f>
        <v>4</v>
      </c>
      <c r="P23" s="46"/>
      <c r="Q23" s="8"/>
      <c r="R23" s="8" t="s">
        <v>60</v>
      </c>
      <c r="S23" s="9">
        <f>5-(IF(T23&gt;T21,1,0)+IF(T23&gt;T22,1,0)+IF(T23&gt;T23,1,0)+IF(T23&gt;T24,1,0)+1)</f>
        <v>4</v>
      </c>
      <c r="T23" s="9">
        <f>IF(VLOOKUP(V23,J21:P24,7,FALSE)="",GMT_MIN,10-VLOOKUP(V23,J21:P24,7,FALSE))*10+U23</f>
        <v>1</v>
      </c>
      <c r="U23" s="9">
        <f>IF(AC23&gt;AC21,1,0)+IF(AC23&gt;AC22,1,0)+IF(AC23&gt;AC23,1,0)+IF(AC23&gt;AC24,1,0)+1</f>
        <v>1</v>
      </c>
      <c r="V23" s="10" t="str">
        <f>R23</f>
        <v>Algéria</v>
      </c>
      <c r="W23" s="11">
        <f>COUNTIF(AW7:AX54,CONCATENATE(V23,"_win"))</f>
        <v>0</v>
      </c>
      <c r="X23" s="11">
        <f>COUNTIF(AW7:AX54,CONCATENATE(V23,"_draw"))</f>
        <v>1</v>
      </c>
      <c r="Y23" s="11">
        <f>COUNTIF(AW7:AX54,CONCATENATE(V23,"_lose"))</f>
        <v>2</v>
      </c>
      <c r="Z23" s="11">
        <f>SUMIF(AS7:AS54,CONCATENATE("=",V23),AT7:AT54)+SUMIF(AO7:AO54,CONCATENATE("=",V23),AP7:AP54)</f>
        <v>0</v>
      </c>
      <c r="AA23" s="11">
        <f>SUMIF(AU7:AU54,CONCATENATE("=",V23),AV7:AV54)+SUMIF(AQ7:AQ54,CONCATENATE("=",V23),AR7:AR54)</f>
        <v>2</v>
      </c>
      <c r="AB23" s="11">
        <f>W23*3+X23</f>
        <v>1</v>
      </c>
      <c r="AC23" s="11">
        <f>0.2+AL23+Z23*1000+(Z23-AA23)*100000+AB23*10000000</f>
        <v>9800000.2</v>
      </c>
      <c r="AD23" s="10">
        <f>IF(COUNTIF(AB21:AB24,CONCATENATE("=",AB23))=1,0,COUNTIF(AB21:AB24,CONCATENATE("=",AB23)))*AB23</f>
        <v>0</v>
      </c>
      <c r="AE23" s="10"/>
      <c r="AF23" s="11"/>
      <c r="AG23" s="11">
        <f>IF(AB23=AF21,1,0)</f>
        <v>0</v>
      </c>
      <c r="AH23" s="11">
        <f>COUNTIF(AY7:AZ54,CONCATENATE(V23,"_win"))</f>
        <v>0</v>
      </c>
      <c r="AI23" s="11">
        <f>SUMIF(BE7:BE54,CONCATENATE("=",V23),BF7:BF54)+SUMIF(BA7:BA54,CONCATENATE("=",V23),BB7:BB54)</f>
        <v>0</v>
      </c>
      <c r="AJ23" s="11">
        <f>SUMIF(BG7:BG54,CONCATENATE("=",V23),BH7:BH54)+SUMIF(BC7:BC54,CONCATENATE("=",V23),BD7:BD54)</f>
        <v>0</v>
      </c>
      <c r="AK23" s="10">
        <f>300*AH23+(AI23-AJ23)*10+AI23</f>
        <v>0</v>
      </c>
      <c r="AL23" s="10">
        <f>IF(AK23&gt;0,AK23,0)</f>
        <v>0</v>
      </c>
      <c r="AM23" s="10"/>
      <c r="AN23" s="10">
        <f>VLOOKUP(F23,V7:AG59,12,FALSE)+VLOOKUP(C23,V7:AG59,12,FALSE)</f>
        <v>1</v>
      </c>
      <c r="AO23" s="10" t="str">
        <f t="shared" si="0"/>
        <v>Dél-Afrika</v>
      </c>
      <c r="AP23" s="10">
        <f t="shared" si="1"/>
        <v>0</v>
      </c>
      <c r="AQ23" s="10" t="str">
        <f t="shared" si="2"/>
        <v>Dél-Afrika</v>
      </c>
      <c r="AR23" s="10">
        <f t="shared" si="3"/>
        <v>3</v>
      </c>
      <c r="AS23" s="10" t="str">
        <f t="shared" si="4"/>
        <v>Uruguay</v>
      </c>
      <c r="AT23" s="10">
        <f t="shared" si="5"/>
        <v>3</v>
      </c>
      <c r="AU23" s="10" t="str">
        <f t="shared" si="6"/>
        <v>Uruguay</v>
      </c>
      <c r="AV23" s="10">
        <f t="shared" si="7"/>
        <v>0</v>
      </c>
      <c r="AW23" s="10" t="str">
        <f t="shared" si="8"/>
        <v>Dél-Afrika_lose</v>
      </c>
      <c r="AX23" s="10" t="str">
        <f t="shared" si="9"/>
        <v>Uruguay_win</v>
      </c>
      <c r="AY23" s="10">
        <f t="shared" si="10"/>
      </c>
      <c r="AZ23" s="10">
        <f t="shared" si="11"/>
      </c>
      <c r="BA23" s="10">
        <f t="shared" si="12"/>
      </c>
      <c r="BB23" s="10">
        <f t="shared" si="13"/>
      </c>
      <c r="BC23" s="10">
        <f t="shared" si="14"/>
      </c>
      <c r="BD23" s="10">
        <f t="shared" si="15"/>
      </c>
      <c r="BE23" s="10">
        <f t="shared" si="16"/>
      </c>
      <c r="BF23" s="10">
        <f t="shared" si="17"/>
      </c>
      <c r="BG23" s="10">
        <f t="shared" si="18"/>
      </c>
      <c r="BH23" s="10">
        <f t="shared" si="19"/>
      </c>
      <c r="BI23" s="10" t="s">
        <v>61</v>
      </c>
      <c r="BJ23" s="10">
        <v>5</v>
      </c>
      <c r="BK23" s="10" t="s">
        <v>62</v>
      </c>
      <c r="BL23" s="10">
        <v>17</v>
      </c>
      <c r="BM23" s="10"/>
      <c r="BN23" s="10"/>
      <c r="BO23" s="12"/>
    </row>
    <row r="24" spans="1:67" s="6" customFormat="1" ht="13.5" customHeight="1">
      <c r="A24" s="35">
        <v>39981</v>
      </c>
      <c r="B24" s="36"/>
      <c r="C24" s="43" t="str">
        <f>V10</f>
        <v>Franciaország</v>
      </c>
      <c r="D24" s="38">
        <v>0</v>
      </c>
      <c r="E24" s="38">
        <v>2</v>
      </c>
      <c r="F24" s="39" t="str">
        <f>V8</f>
        <v>Mexikó</v>
      </c>
      <c r="J24" s="47" t="str">
        <f>VLOOKUP(1,U21:AB24,2,FALSE)</f>
        <v>Algéria</v>
      </c>
      <c r="K24" s="48">
        <f>VLOOKUP(1,U21:AB24,3,FALSE)</f>
        <v>0</v>
      </c>
      <c r="L24" s="48">
        <f>VLOOKUP(1,U21:AB24,4,FALSE)</f>
        <v>1</v>
      </c>
      <c r="M24" s="48">
        <f>VLOOKUP(1,U21:AB24,5,FALSE)</f>
        <v>2</v>
      </c>
      <c r="N24" s="48" t="str">
        <f>CONCATENATE(VLOOKUP(1,U21:AB24,6,FALSE)," - ",VLOOKUP(1,U21:AB24,7,FALSE))</f>
        <v>0 - 2</v>
      </c>
      <c r="O24" s="48">
        <f>VLOOKUP(1,U21:AB24,8,FALSE)</f>
        <v>1</v>
      </c>
      <c r="P24" s="49"/>
      <c r="Q24" s="8"/>
      <c r="R24" s="8" t="s">
        <v>63</v>
      </c>
      <c r="S24" s="9">
        <f>5-(IF(T24&gt;T21,1,0)+IF(T24&gt;T22,1,0)+IF(T24&gt;T23,1,0)+IF(T24&gt;T24,1,0)+1)</f>
        <v>3</v>
      </c>
      <c r="T24" s="9">
        <f>IF(VLOOKUP(V24,J21:P24,7,FALSE)="",GMT_MIN,10-VLOOKUP(V24,J21:P24,7,FALSE))*10+U24</f>
        <v>2</v>
      </c>
      <c r="U24" s="9">
        <f>IF(AC24&gt;AC21,1,0)+IF(AC24&gt;AC22,1,0)+IF(AC24&gt;AC23,1,0)+IF(AC24&gt;AC24,1,0)+1</f>
        <v>2</v>
      </c>
      <c r="V24" s="10" t="str">
        <f>R24</f>
        <v>Szlovénia</v>
      </c>
      <c r="W24" s="11">
        <f>COUNTIF(AW7:AX54,CONCATENATE(V24,"_win"))</f>
        <v>1</v>
      </c>
      <c r="X24" s="11">
        <f>COUNTIF(AW7:AX54,CONCATENATE(V24,"_draw"))</f>
        <v>1</v>
      </c>
      <c r="Y24" s="11">
        <f>COUNTIF(AW7:AX54,CONCATENATE(V24,"_lose"))</f>
        <v>1</v>
      </c>
      <c r="Z24" s="11">
        <f>SUMIF(AS7:AS54,CONCATENATE("=",V24),AT7:AT54)+SUMIF(AO7:AO54,CONCATENATE("=",V24),AP7:AP54)</f>
        <v>3</v>
      </c>
      <c r="AA24" s="11">
        <f>SUMIF(AU7:AU54,CONCATENATE("=",V24),AV7:AV54)+SUMIF(AQ7:AQ54,CONCATENATE("=",V24),AR7:AR54)</f>
        <v>3</v>
      </c>
      <c r="AB24" s="11">
        <f>W24*3+X24</f>
        <v>4</v>
      </c>
      <c r="AC24" s="11">
        <f>0.1+AL24+Z24*1000+(Z24-AA24)*100000+AB24*10000000</f>
        <v>40003000.1</v>
      </c>
      <c r="AD24" s="10">
        <f>IF(COUNTIF(AB21:AB24,CONCATENATE("=",AB24))=1,0,COUNTIF(AB21:AB24,CONCATENATE("=",AB24)))*AB24</f>
        <v>0</v>
      </c>
      <c r="AE24" s="10"/>
      <c r="AF24" s="11"/>
      <c r="AG24" s="11">
        <f>IF(AB24=AF21,1,0)</f>
        <v>0</v>
      </c>
      <c r="AH24" s="11">
        <f>COUNTIF(AY7:AZ54,CONCATENATE(V24,"_win"))</f>
        <v>0</v>
      </c>
      <c r="AI24" s="11">
        <f>SUMIF(BE7:BE54,CONCATENATE("=",V24),BF7:BF54)+SUMIF(BA7:BA54,CONCATENATE("=",V24),BB7:BB54)</f>
        <v>0</v>
      </c>
      <c r="AJ24" s="11">
        <f>SUMIF(BG7:BG54,CONCATENATE("=",V24),BH7:BH54)+SUMIF(BC7:BC54,CONCATENATE("=",V24),BD7:BD54)</f>
        <v>0</v>
      </c>
      <c r="AK24" s="10">
        <f>300*AH24+(AI24-AJ24)*10+AI24</f>
        <v>0</v>
      </c>
      <c r="AL24" s="10">
        <f>IF(AK24&gt;0,AK24,0)</f>
        <v>0</v>
      </c>
      <c r="AM24" s="10"/>
      <c r="AN24" s="10">
        <f>VLOOKUP(F24,V7:AG59,12,FALSE)+VLOOKUP(C24,V7:AG59,12,FALSE)</f>
        <v>1</v>
      </c>
      <c r="AO24" s="10" t="str">
        <f t="shared" si="0"/>
        <v>Franciaország</v>
      </c>
      <c r="AP24" s="10">
        <f t="shared" si="1"/>
        <v>0</v>
      </c>
      <c r="AQ24" s="10" t="str">
        <f t="shared" si="2"/>
        <v>Franciaország</v>
      </c>
      <c r="AR24" s="10">
        <f t="shared" si="3"/>
        <v>2</v>
      </c>
      <c r="AS24" s="10" t="str">
        <f t="shared" si="4"/>
        <v>Mexikó</v>
      </c>
      <c r="AT24" s="10">
        <f t="shared" si="5"/>
        <v>2</v>
      </c>
      <c r="AU24" s="10" t="str">
        <f t="shared" si="6"/>
        <v>Mexikó</v>
      </c>
      <c r="AV24" s="10">
        <f t="shared" si="7"/>
        <v>0</v>
      </c>
      <c r="AW24" s="10" t="str">
        <f t="shared" si="8"/>
        <v>Franciaország_lose</v>
      </c>
      <c r="AX24" s="10" t="str">
        <f t="shared" si="9"/>
        <v>Mexikó_win</v>
      </c>
      <c r="AY24" s="10">
        <f t="shared" si="10"/>
      </c>
      <c r="AZ24" s="10">
        <f t="shared" si="11"/>
      </c>
      <c r="BA24" s="10">
        <f t="shared" si="12"/>
      </c>
      <c r="BB24" s="10">
        <f t="shared" si="13"/>
      </c>
      <c r="BC24" s="10">
        <f t="shared" si="14"/>
      </c>
      <c r="BD24" s="10">
        <f t="shared" si="15"/>
      </c>
      <c r="BE24" s="10">
        <f t="shared" si="16"/>
      </c>
      <c r="BF24" s="10">
        <f t="shared" si="17"/>
      </c>
      <c r="BG24" s="10">
        <f t="shared" si="18"/>
      </c>
      <c r="BH24" s="10">
        <f t="shared" si="19"/>
      </c>
      <c r="BI24" s="10" t="s">
        <v>64</v>
      </c>
      <c r="BJ24" s="10">
        <v>6</v>
      </c>
      <c r="BK24" s="10" t="s">
        <v>65</v>
      </c>
      <c r="BL24" s="10">
        <v>18</v>
      </c>
      <c r="BM24" s="10"/>
      <c r="BN24" s="10"/>
      <c r="BO24" s="12"/>
    </row>
    <row r="25" spans="1:109" ht="13.5" customHeight="1">
      <c r="A25" s="35">
        <v>39981</v>
      </c>
      <c r="B25" s="36"/>
      <c r="C25" s="43" t="str">
        <f>V17</f>
        <v>Görögország</v>
      </c>
      <c r="D25" s="38">
        <v>2</v>
      </c>
      <c r="E25" s="38">
        <v>1</v>
      </c>
      <c r="F25" s="39" t="str">
        <f>V15</f>
        <v>Nigéria</v>
      </c>
      <c r="J25" s="50"/>
      <c r="K25" s="51"/>
      <c r="L25" s="51"/>
      <c r="M25" s="51"/>
      <c r="N25" s="51"/>
      <c r="O25" s="51"/>
      <c r="P25" s="51"/>
      <c r="AD25" s="10">
        <f>MAX(AD21:AD24)</f>
        <v>10</v>
      </c>
      <c r="AN25" s="10">
        <f>VLOOKUP(F25,V7:AG59,12,FALSE)+VLOOKUP(C25,V7:AG59,12,FALSE)</f>
        <v>0</v>
      </c>
      <c r="AO25" s="10" t="str">
        <f t="shared" si="0"/>
        <v>Görögország</v>
      </c>
      <c r="AP25" s="10">
        <f t="shared" si="1"/>
        <v>2</v>
      </c>
      <c r="AQ25" s="10" t="str">
        <f t="shared" si="2"/>
        <v>Görögország</v>
      </c>
      <c r="AR25" s="10">
        <f t="shared" si="3"/>
        <v>1</v>
      </c>
      <c r="AS25" s="10" t="str">
        <f t="shared" si="4"/>
        <v>Nigéria</v>
      </c>
      <c r="AT25" s="10">
        <f t="shared" si="5"/>
        <v>1</v>
      </c>
      <c r="AU25" s="10" t="str">
        <f t="shared" si="6"/>
        <v>Nigéria</v>
      </c>
      <c r="AV25" s="10">
        <f t="shared" si="7"/>
        <v>2</v>
      </c>
      <c r="AW25" s="10" t="str">
        <f t="shared" si="8"/>
        <v>Görögország_win</v>
      </c>
      <c r="AX25" s="10" t="str">
        <f t="shared" si="9"/>
        <v>Nigéria_lose</v>
      </c>
      <c r="AY25" s="10">
        <f t="shared" si="10"/>
      </c>
      <c r="AZ25" s="10">
        <f t="shared" si="11"/>
      </c>
      <c r="BA25" s="10">
        <f t="shared" si="12"/>
      </c>
      <c r="BB25" s="10">
        <f t="shared" si="13"/>
      </c>
      <c r="BC25" s="10">
        <f t="shared" si="14"/>
      </c>
      <c r="BD25" s="10">
        <f t="shared" si="15"/>
      </c>
      <c r="BE25" s="10">
        <f t="shared" si="16"/>
      </c>
      <c r="BF25" s="10">
        <f t="shared" si="17"/>
      </c>
      <c r="BG25" s="10">
        <f t="shared" si="18"/>
      </c>
      <c r="BH25" s="10">
        <f t="shared" si="19"/>
      </c>
      <c r="BI25" s="10" t="s">
        <v>66</v>
      </c>
      <c r="BJ25" s="10">
        <v>7</v>
      </c>
      <c r="BK25" s="10" t="s">
        <v>67</v>
      </c>
      <c r="BL25" s="10">
        <v>19</v>
      </c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55"/>
      <c r="CZ25" s="6"/>
      <c r="DA25" s="6"/>
      <c r="DB25" s="6"/>
      <c r="DC25" s="6"/>
      <c r="DD25" s="6"/>
      <c r="DE25" s="6"/>
    </row>
    <row r="26" spans="1:109" ht="13.5" customHeight="1">
      <c r="A26" s="35">
        <v>39981</v>
      </c>
      <c r="B26" s="36"/>
      <c r="C26" s="43" t="str">
        <f>V14</f>
        <v>Argentina</v>
      </c>
      <c r="D26" s="38">
        <v>4</v>
      </c>
      <c r="E26" s="38">
        <v>1</v>
      </c>
      <c r="F26" s="39" t="str">
        <f>V16</f>
        <v>Koreai Köztársaság</v>
      </c>
      <c r="J26" s="52" t="str">
        <f>CONCATENATE(INDEX(T,40,language)," D")</f>
        <v>Group D</v>
      </c>
      <c r="K26" s="53" t="str">
        <f>INDEX(T,35,language)</f>
        <v>W</v>
      </c>
      <c r="L26" s="53" t="str">
        <f>INDEX(T,36,language)</f>
        <v>D</v>
      </c>
      <c r="M26" s="53" t="str">
        <f>INDEX(T,37,language)</f>
        <v>L</v>
      </c>
      <c r="N26" s="53" t="str">
        <f>INDEX(T,38,language)</f>
        <v>F - A</v>
      </c>
      <c r="O26" s="53" t="str">
        <f>INDEX(T,39,language)</f>
        <v>Pnt</v>
      </c>
      <c r="P26" s="54" t="s">
        <v>3</v>
      </c>
      <c r="AN26" s="10">
        <f>VLOOKUP(F26,V7:AG59,12,FALSE)+VLOOKUP(C26,V7:AG59,12,FALSE)</f>
        <v>1</v>
      </c>
      <c r="AO26" s="10" t="str">
        <f t="shared" si="0"/>
        <v>Argentina</v>
      </c>
      <c r="AP26" s="10">
        <f t="shared" si="1"/>
        <v>4</v>
      </c>
      <c r="AQ26" s="10" t="str">
        <f t="shared" si="2"/>
        <v>Argentina</v>
      </c>
      <c r="AR26" s="10">
        <f t="shared" si="3"/>
        <v>1</v>
      </c>
      <c r="AS26" s="10" t="str">
        <f t="shared" si="4"/>
        <v>Koreai Köztársaság</v>
      </c>
      <c r="AT26" s="10">
        <f t="shared" si="5"/>
        <v>1</v>
      </c>
      <c r="AU26" s="10" t="str">
        <f t="shared" si="6"/>
        <v>Koreai Köztársaság</v>
      </c>
      <c r="AV26" s="10">
        <f t="shared" si="7"/>
        <v>4</v>
      </c>
      <c r="AW26" s="10" t="str">
        <f t="shared" si="8"/>
        <v>Argentina_win</v>
      </c>
      <c r="AX26" s="10" t="str">
        <f t="shared" si="9"/>
        <v>Koreai Köztársaság_lose</v>
      </c>
      <c r="AY26" s="10">
        <f t="shared" si="10"/>
      </c>
      <c r="AZ26" s="10">
        <f t="shared" si="11"/>
      </c>
      <c r="BA26" s="10">
        <f t="shared" si="12"/>
      </c>
      <c r="BB26" s="10">
        <f t="shared" si="13"/>
      </c>
      <c r="BC26" s="10">
        <f t="shared" si="14"/>
      </c>
      <c r="BD26" s="10">
        <f t="shared" si="15"/>
      </c>
      <c r="BE26" s="10">
        <f t="shared" si="16"/>
      </c>
      <c r="BF26" s="10">
        <f t="shared" si="17"/>
      </c>
      <c r="BG26" s="10">
        <f t="shared" si="18"/>
      </c>
      <c r="BH26" s="10">
        <f t="shared" si="19"/>
      </c>
      <c r="BI26" s="10" t="s">
        <v>68</v>
      </c>
      <c r="BJ26" s="10">
        <v>8</v>
      </c>
      <c r="BK26" s="10" t="s">
        <v>69</v>
      </c>
      <c r="BL26" s="10">
        <v>20</v>
      </c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09" ht="13.5" customHeight="1">
      <c r="A27" s="35">
        <v>39982</v>
      </c>
      <c r="B27" s="36"/>
      <c r="C27" s="43" t="str">
        <f>V21</f>
        <v>Anglia</v>
      </c>
      <c r="D27" s="38">
        <v>0</v>
      </c>
      <c r="E27" s="38">
        <v>0</v>
      </c>
      <c r="F27" s="39" t="str">
        <f>V23</f>
        <v>Algéria</v>
      </c>
      <c r="J27" s="52"/>
      <c r="K27" s="53"/>
      <c r="L27" s="53"/>
      <c r="M27" s="53"/>
      <c r="N27" s="53"/>
      <c r="O27" s="53"/>
      <c r="P27" s="54"/>
      <c r="AN27" s="10">
        <f>VLOOKUP(F27,V7:AG59,12,FALSE)+VLOOKUP(C27,V7:AG59,12,FALSE)</f>
        <v>1</v>
      </c>
      <c r="AO27" s="10" t="str">
        <f t="shared" si="0"/>
        <v>Anglia</v>
      </c>
      <c r="AP27" s="10">
        <f t="shared" si="1"/>
        <v>0</v>
      </c>
      <c r="AQ27" s="10" t="str">
        <f t="shared" si="2"/>
        <v>Anglia</v>
      </c>
      <c r="AR27" s="10">
        <f t="shared" si="3"/>
        <v>0</v>
      </c>
      <c r="AS27" s="10" t="str">
        <f t="shared" si="4"/>
        <v>Algéria</v>
      </c>
      <c r="AT27" s="10">
        <f t="shared" si="5"/>
        <v>0</v>
      </c>
      <c r="AU27" s="10" t="str">
        <f t="shared" si="6"/>
        <v>Algéria</v>
      </c>
      <c r="AV27" s="10">
        <f t="shared" si="7"/>
        <v>0</v>
      </c>
      <c r="AW27" s="10" t="str">
        <f t="shared" si="8"/>
        <v>Anglia_draw</v>
      </c>
      <c r="AX27" s="10" t="str">
        <f t="shared" si="9"/>
        <v>Algéria_draw</v>
      </c>
      <c r="AY27" s="10">
        <f t="shared" si="10"/>
      </c>
      <c r="AZ27" s="10">
        <f t="shared" si="11"/>
      </c>
      <c r="BA27" s="10">
        <f t="shared" si="12"/>
      </c>
      <c r="BB27" s="10">
        <f t="shared" si="13"/>
      </c>
      <c r="BC27" s="10">
        <f t="shared" si="14"/>
      </c>
      <c r="BD27" s="10">
        <f t="shared" si="15"/>
      </c>
      <c r="BE27" s="10">
        <f t="shared" si="16"/>
      </c>
      <c r="BF27" s="10">
        <f t="shared" si="17"/>
      </c>
      <c r="BG27" s="10">
        <f t="shared" si="18"/>
      </c>
      <c r="BH27" s="10">
        <f t="shared" si="19"/>
      </c>
      <c r="BI27" s="10" t="s">
        <v>70</v>
      </c>
      <c r="BJ27" s="10">
        <v>9</v>
      </c>
      <c r="BK27" s="10" t="s">
        <v>71</v>
      </c>
      <c r="BL27" s="10">
        <v>21</v>
      </c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67" s="6" customFormat="1" ht="13.5" customHeight="1">
      <c r="A28" s="35">
        <v>39982</v>
      </c>
      <c r="B28" s="36"/>
      <c r="C28" s="43" t="str">
        <f>V24</f>
        <v>Szlovénia</v>
      </c>
      <c r="D28" s="38">
        <v>2</v>
      </c>
      <c r="E28" s="38">
        <v>2</v>
      </c>
      <c r="F28" s="39" t="str">
        <f>V22</f>
        <v>USA</v>
      </c>
      <c r="J28" s="40" t="str">
        <f>VLOOKUP(4,U28:AB31,2,FALSE)</f>
        <v>Németország</v>
      </c>
      <c r="K28" s="41">
        <f>VLOOKUP(4,U28:AB31,3,FALSE)</f>
        <v>2</v>
      </c>
      <c r="L28" s="41">
        <f>VLOOKUP(4,U28:AB31,4,FALSE)</f>
        <v>0</v>
      </c>
      <c r="M28" s="41">
        <f>VLOOKUP(4,U28:AB31,5,FALSE)</f>
        <v>1</v>
      </c>
      <c r="N28" s="41" t="str">
        <f>CONCATENATE(VLOOKUP(4,U28:AB31,6,FALSE)," - ",VLOOKUP(4,U28:AB31,7,FALSE))</f>
        <v>5 - 1</v>
      </c>
      <c r="O28" s="41">
        <f>VLOOKUP(4,U28:AB31,8,FALSE)</f>
        <v>6</v>
      </c>
      <c r="P28" s="42"/>
      <c r="Q28" s="8"/>
      <c r="R28" s="8" t="s">
        <v>72</v>
      </c>
      <c r="S28" s="9">
        <f>5-(IF(T28&gt;T28,1,0)+IF(T28&gt;T29,1,0)+IF(T28&gt;T30,1,0)+IF(T28&gt;T31,1,0)+1)</f>
        <v>1</v>
      </c>
      <c r="T28" s="9">
        <f>IF(VLOOKUP(V28,J28:P31,7,FALSE)="",GMT_MIN,10-VLOOKUP(V28,J28:P31,7,FALSE))*10+U28</f>
        <v>4</v>
      </c>
      <c r="U28" s="9">
        <f>IF(AC28&gt;AC28,1,0)+IF(AC28&gt;AC29,1,0)+IF(AC28&gt;AC30,1,0)+IF(AC28&gt;AC31,1,0)+1</f>
        <v>4</v>
      </c>
      <c r="V28" s="10" t="str">
        <f>R28</f>
        <v>Németország</v>
      </c>
      <c r="W28" s="11">
        <f>COUNTIF(AW7:AX54,CONCATENATE(V28,"_win"))</f>
        <v>2</v>
      </c>
      <c r="X28" s="11">
        <f>COUNTIF(AW7:AX54,CONCATENATE(V28,"_draw"))</f>
        <v>0</v>
      </c>
      <c r="Y28" s="11">
        <f>COUNTIF(AW7:AX54,CONCATENATE(V28,"_lose"))</f>
        <v>1</v>
      </c>
      <c r="Z28" s="11">
        <f>SUMIF(AS7:AS54,CONCATENATE("=",V28),AT7:AT54)+SUMIF(AO7:AO54,CONCATENATE("=",V28),AP7:AP54)</f>
        <v>5</v>
      </c>
      <c r="AA28" s="11">
        <f>SUMIF(AU7:AU54,CONCATENATE("=",V28),AV7:AV54)+SUMIF(AQ7:AQ54,CONCATENATE("=",V28),AR7:AR54)</f>
        <v>1</v>
      </c>
      <c r="AB28" s="11">
        <f>W28*3+X28</f>
        <v>6</v>
      </c>
      <c r="AC28" s="11">
        <f>0.4+AL28+Z28*1000+(Z28-AA28)*100000+AB28*10000000</f>
        <v>60405000.4</v>
      </c>
      <c r="AD28" s="10">
        <f>IF(COUNTIF(AB28:AB31,CONCATENATE("=",AB28))=1,0,COUNTIF(AB28:AB31,CONCATENATE("=",AB28)))*AB28</f>
        <v>0</v>
      </c>
      <c r="AE28" s="10" t="str">
        <f>IF(SUM(W28:Y31)=12,VLOOKUP(1,S28:V31,4,FALSE),INDEX(T,54,language))</f>
        <v>Németország</v>
      </c>
      <c r="AF28" s="11">
        <f>IF(AD28=AD32,AB28,IF(AD29=AD32,AB29,IF(AD30=AD32,AB30,AB31)))</f>
        <v>4</v>
      </c>
      <c r="AG28" s="11">
        <f>IF(AB28=AF28,1,0)</f>
        <v>0</v>
      </c>
      <c r="AH28" s="11">
        <f>COUNTIF(AY7:AZ54,CONCATENATE(V28,"_win"))</f>
        <v>0</v>
      </c>
      <c r="AI28" s="11">
        <f>SUMIF(BE7:BE54,CONCATENATE("=",V28),BF7:BF54)+SUMIF(BA7:BA54,CONCATENATE("=",V28),BB7:BB54)</f>
        <v>0</v>
      </c>
      <c r="AJ28" s="11">
        <f>SUMIF(BG7:BG54,CONCATENATE("=",V28),BH7:BH54)+SUMIF(BC7:BC54,CONCATENATE("=",V28),BD7:BD54)</f>
        <v>0</v>
      </c>
      <c r="AK28" s="10">
        <f>300*AH28+(AI28-AJ28)*10+AI28</f>
        <v>0</v>
      </c>
      <c r="AL28" s="10">
        <f>IF(AK28&gt;0,AK28,0)</f>
        <v>0</v>
      </c>
      <c r="AM28" s="10"/>
      <c r="AN28" s="10">
        <f>VLOOKUP(F28,V7:AG59,12,FALSE)+VLOOKUP(C28,V7:AG59,12,FALSE)</f>
        <v>1</v>
      </c>
      <c r="AO28" s="10" t="str">
        <f t="shared" si="0"/>
        <v>Szlovénia</v>
      </c>
      <c r="AP28" s="10">
        <f t="shared" si="1"/>
        <v>2</v>
      </c>
      <c r="AQ28" s="10" t="str">
        <f t="shared" si="2"/>
        <v>Szlovénia</v>
      </c>
      <c r="AR28" s="10">
        <f t="shared" si="3"/>
        <v>2</v>
      </c>
      <c r="AS28" s="10" t="str">
        <f t="shared" si="4"/>
        <v>USA</v>
      </c>
      <c r="AT28" s="10">
        <f t="shared" si="5"/>
        <v>2</v>
      </c>
      <c r="AU28" s="10" t="str">
        <f t="shared" si="6"/>
        <v>USA</v>
      </c>
      <c r="AV28" s="10">
        <f t="shared" si="7"/>
        <v>2</v>
      </c>
      <c r="AW28" s="10" t="str">
        <f t="shared" si="8"/>
        <v>Szlovénia_draw</v>
      </c>
      <c r="AX28" s="10" t="str">
        <f t="shared" si="9"/>
        <v>USA_draw</v>
      </c>
      <c r="AY28" s="10">
        <f t="shared" si="10"/>
      </c>
      <c r="AZ28" s="10">
        <f t="shared" si="11"/>
      </c>
      <c r="BA28" s="10">
        <f t="shared" si="12"/>
      </c>
      <c r="BB28" s="10">
        <f t="shared" si="13"/>
      </c>
      <c r="BC28" s="10">
        <f t="shared" si="14"/>
      </c>
      <c r="BD28" s="10">
        <f t="shared" si="15"/>
      </c>
      <c r="BE28" s="10">
        <f t="shared" si="16"/>
      </c>
      <c r="BF28" s="10">
        <f t="shared" si="17"/>
      </c>
      <c r="BG28" s="10">
        <f t="shared" si="18"/>
      </c>
      <c r="BH28" s="10">
        <f t="shared" si="19"/>
      </c>
      <c r="BI28" s="10" t="s">
        <v>73</v>
      </c>
      <c r="BJ28" s="10">
        <v>10</v>
      </c>
      <c r="BK28" s="10" t="s">
        <v>74</v>
      </c>
      <c r="BL28" s="10">
        <v>22</v>
      </c>
      <c r="BM28" s="10"/>
      <c r="BN28" s="10"/>
      <c r="BO28" s="12"/>
    </row>
    <row r="29" spans="1:67" s="6" customFormat="1" ht="13.5" customHeight="1">
      <c r="A29" s="35">
        <v>39982</v>
      </c>
      <c r="B29" s="36"/>
      <c r="C29" s="43" t="str">
        <f>V28</f>
        <v>Németország</v>
      </c>
      <c r="D29" s="38">
        <v>0</v>
      </c>
      <c r="E29" s="38">
        <v>1</v>
      </c>
      <c r="F29" s="39" t="str">
        <f>V30</f>
        <v>Szerbia</v>
      </c>
      <c r="J29" s="44" t="str">
        <f>VLOOKUP(3,U28:AB31,2,FALSE)</f>
        <v>Ghána</v>
      </c>
      <c r="K29" s="45">
        <f>VLOOKUP(3,U28:AB31,3,FALSE)</f>
        <v>1</v>
      </c>
      <c r="L29" s="45">
        <f>VLOOKUP(3,U28:AB31,4,FALSE)</f>
        <v>1</v>
      </c>
      <c r="M29" s="45">
        <f>VLOOKUP(3,U28:AB31,5,FALSE)</f>
        <v>1</v>
      </c>
      <c r="N29" s="45" t="str">
        <f>CONCATENATE(VLOOKUP(3,U28:AB31,6,FALSE)," - ",VLOOKUP(3,U28:AB31,7,FALSE))</f>
        <v>2 - 2</v>
      </c>
      <c r="O29" s="45">
        <f>VLOOKUP(3,U28:AB31,8,FALSE)</f>
        <v>4</v>
      </c>
      <c r="P29" s="46"/>
      <c r="Q29" s="8"/>
      <c r="R29" s="8" t="s">
        <v>75</v>
      </c>
      <c r="S29" s="9">
        <f>5-(IF(T29&gt;T28,1,0)+IF(T29&gt;T29,1,0)+IF(T29&gt;T30,1,0)+IF(T29&gt;T31,1,0)+1)</f>
        <v>3</v>
      </c>
      <c r="T29" s="9">
        <f>IF(VLOOKUP(V29,J28:P31,7,FALSE)="",GMT_MIN,10-VLOOKUP(V29,J28:P31,7,FALSE))*10+U29</f>
        <v>2</v>
      </c>
      <c r="U29" s="9">
        <f>IF(AC29&gt;AC28,1,0)+IF(AC29&gt;AC29,1,0)+IF(AC29&gt;AC30,1,0)+IF(AC29&gt;AC31,1,0)+1</f>
        <v>2</v>
      </c>
      <c r="V29" s="10" t="str">
        <f>R29</f>
        <v>Ausztrália</v>
      </c>
      <c r="W29" s="11">
        <f>COUNTIF(AW7:AX54,CONCATENATE(V29,"_win"))</f>
        <v>1</v>
      </c>
      <c r="X29" s="11">
        <f>COUNTIF(AW7:AX54,CONCATENATE(V29,"_draw"))</f>
        <v>1</v>
      </c>
      <c r="Y29" s="11">
        <f>COUNTIF(AW7:AX54,CONCATENATE(V29,"_lose"))</f>
        <v>1</v>
      </c>
      <c r="Z29" s="11">
        <f>SUMIF(AS7:AS54,CONCATENATE("=",V29),AT7:AT54)+SUMIF(AO7:AO54,CONCATENATE("=",V29),AP7:AP54)</f>
        <v>3</v>
      </c>
      <c r="AA29" s="11">
        <f>SUMIF(AU7:AU54,CONCATENATE("=",V29),AV7:AV54)+SUMIF(AQ7:AQ54,CONCATENATE("=",V29),AR7:AR54)</f>
        <v>6</v>
      </c>
      <c r="AB29" s="11">
        <f>W29*3+X29</f>
        <v>4</v>
      </c>
      <c r="AC29" s="11">
        <f>0.3+AL29+Z29*1000+(Z29-AA29)*100000+AB29*10000000</f>
        <v>39703001.3</v>
      </c>
      <c r="AD29" s="10">
        <f>IF(COUNTIF(AB28:AB31,CONCATENATE("=",AB29))=1,0,COUNTIF(AB28:AB31,CONCATENATE("=",AB29)))*AB29</f>
        <v>8</v>
      </c>
      <c r="AE29" s="10" t="str">
        <f>IF(SUM(W28:Y31)=12,VLOOKUP(2,S28:V31,4,FALSE),INDEX(T,55,language))</f>
        <v>Ghána</v>
      </c>
      <c r="AF29" s="11"/>
      <c r="AG29" s="11">
        <f>IF(AB29=AF28,1,0)</f>
        <v>1</v>
      </c>
      <c r="AH29" s="11">
        <f>COUNTIF(AY7:AZ54,CONCATENATE(V29,"_win"))</f>
        <v>0</v>
      </c>
      <c r="AI29" s="11">
        <f>SUMIF(BE7:BE54,CONCATENATE("=",V29),BF7:BF54)+SUMIF(BA7:BA54,CONCATENATE("=",V29),BB7:BB54)</f>
        <v>1</v>
      </c>
      <c r="AJ29" s="11">
        <f>SUMIF(BG7:BG54,CONCATENATE("=",V29),BH7:BH54)+SUMIF(BC7:BC54,CONCATENATE("=",V29),BD7:BD54)</f>
        <v>1</v>
      </c>
      <c r="AK29" s="10">
        <f>300*AH29+(AI29-AJ29)*10+AI29</f>
        <v>1</v>
      </c>
      <c r="AL29" s="10">
        <f>IF(AK29&gt;0,AK29,0)</f>
        <v>1</v>
      </c>
      <c r="AM29" s="10"/>
      <c r="AN29" s="10">
        <f>VLOOKUP(F29,V7:AG59,12,FALSE)+VLOOKUP(C29,V7:AG59,12,FALSE)</f>
        <v>0</v>
      </c>
      <c r="AO29" s="10" t="str">
        <f t="shared" si="0"/>
        <v>Németország</v>
      </c>
      <c r="AP29" s="10">
        <f t="shared" si="1"/>
        <v>0</v>
      </c>
      <c r="AQ29" s="10" t="str">
        <f t="shared" si="2"/>
        <v>Németország</v>
      </c>
      <c r="AR29" s="10">
        <f t="shared" si="3"/>
        <v>1</v>
      </c>
      <c r="AS29" s="10" t="str">
        <f t="shared" si="4"/>
        <v>Szerbia</v>
      </c>
      <c r="AT29" s="10">
        <f t="shared" si="5"/>
        <v>1</v>
      </c>
      <c r="AU29" s="10" t="str">
        <f t="shared" si="6"/>
        <v>Szerbia</v>
      </c>
      <c r="AV29" s="10">
        <f t="shared" si="7"/>
        <v>0</v>
      </c>
      <c r="AW29" s="10" t="str">
        <f t="shared" si="8"/>
        <v>Németország_lose</v>
      </c>
      <c r="AX29" s="10" t="str">
        <f t="shared" si="9"/>
        <v>Szerbia_win</v>
      </c>
      <c r="AY29" s="10">
        <f t="shared" si="10"/>
      </c>
      <c r="AZ29" s="10">
        <f t="shared" si="11"/>
      </c>
      <c r="BA29" s="10">
        <f t="shared" si="12"/>
      </c>
      <c r="BB29" s="10">
        <f t="shared" si="13"/>
      </c>
      <c r="BC29" s="10">
        <f t="shared" si="14"/>
      </c>
      <c r="BD29" s="10">
        <f t="shared" si="15"/>
      </c>
      <c r="BE29" s="10">
        <f t="shared" si="16"/>
      </c>
      <c r="BF29" s="10">
        <f t="shared" si="17"/>
      </c>
      <c r="BG29" s="10">
        <f t="shared" si="18"/>
      </c>
      <c r="BH29" s="10">
        <f t="shared" si="19"/>
      </c>
      <c r="BI29" s="10" t="s">
        <v>76</v>
      </c>
      <c r="BJ29" s="10">
        <v>11</v>
      </c>
      <c r="BK29" s="10" t="s">
        <v>77</v>
      </c>
      <c r="BL29" s="10">
        <v>23</v>
      </c>
      <c r="BM29" s="10"/>
      <c r="BN29" s="10"/>
      <c r="BO29" s="12"/>
    </row>
    <row r="30" spans="1:67" s="6" customFormat="1" ht="13.5" customHeight="1">
      <c r="A30" s="35">
        <v>39983</v>
      </c>
      <c r="B30" s="36"/>
      <c r="C30" s="43" t="str">
        <f>V31</f>
        <v>Ghána</v>
      </c>
      <c r="D30" s="38">
        <v>1</v>
      </c>
      <c r="E30" s="38">
        <v>1</v>
      </c>
      <c r="F30" s="39" t="str">
        <f>V29</f>
        <v>Ausztrália</v>
      </c>
      <c r="J30" s="44" t="str">
        <f>VLOOKUP(2,U28:AB31,2,FALSE)</f>
        <v>Ausztrália</v>
      </c>
      <c r="K30" s="45">
        <f>VLOOKUP(2,U28:AB31,3,FALSE)</f>
        <v>1</v>
      </c>
      <c r="L30" s="45">
        <f>VLOOKUP(2,U28:AB31,4,FALSE)</f>
        <v>1</v>
      </c>
      <c r="M30" s="45">
        <f>VLOOKUP(2,U28:AB31,5,FALSE)</f>
        <v>1</v>
      </c>
      <c r="N30" s="45" t="str">
        <f>CONCATENATE(VLOOKUP(2,U28:AB31,6,FALSE)," - ",VLOOKUP(2,U28:AB31,7,FALSE))</f>
        <v>3 - 6</v>
      </c>
      <c r="O30" s="45">
        <f>VLOOKUP(2,U28:AB31,8,FALSE)</f>
        <v>4</v>
      </c>
      <c r="P30" s="46"/>
      <c r="Q30" s="8"/>
      <c r="R30" s="8" t="s">
        <v>78</v>
      </c>
      <c r="S30" s="9">
        <f>5-(IF(T30&gt;T28,1,0)+IF(T30&gt;T29,1,0)+IF(T30&gt;T30,1,0)+IF(T30&gt;T31,1,0)+1)</f>
        <v>4</v>
      </c>
      <c r="T30" s="9">
        <f>IF(VLOOKUP(V30,J28:P31,7,FALSE)="",GMT_MIN,10-VLOOKUP(V30,J28:P31,7,FALSE))*10+U30</f>
        <v>1</v>
      </c>
      <c r="U30" s="9">
        <f>IF(AC30&gt;AC28,1,0)+IF(AC30&gt;AC29,1,0)+IF(AC30&gt;AC30,1,0)+IF(AC30&gt;AC31,1,0)+1</f>
        <v>1</v>
      </c>
      <c r="V30" s="10" t="str">
        <f>R30</f>
        <v>Szerbia</v>
      </c>
      <c r="W30" s="11">
        <f>COUNTIF(AW7:AX54,CONCATENATE(V30,"_win"))</f>
        <v>1</v>
      </c>
      <c r="X30" s="11">
        <f>COUNTIF(AW7:AX54,CONCATENATE(V30,"_draw"))</f>
        <v>0</v>
      </c>
      <c r="Y30" s="11">
        <f>COUNTIF(AW7:AX54,CONCATENATE(V30,"_lose"))</f>
        <v>2</v>
      </c>
      <c r="Z30" s="11">
        <f>SUMIF(AS7:AS54,CONCATENATE("=",V30),AT7:AT54)+SUMIF(AO7:AO54,CONCATENATE("=",V30),AP7:AP54)</f>
        <v>2</v>
      </c>
      <c r="AA30" s="11">
        <f>SUMIF(AU7:AU54,CONCATENATE("=",V30),AV7:AV54)+SUMIF(AQ7:AQ54,CONCATENATE("=",V30),AR7:AR54)</f>
        <v>3</v>
      </c>
      <c r="AB30" s="11">
        <f>W30*3+X30</f>
        <v>3</v>
      </c>
      <c r="AC30" s="11">
        <f>0.2+AL30+Z30*1000+(Z30-AA30)*100000+AB30*10000000</f>
        <v>29902000.2</v>
      </c>
      <c r="AD30" s="10">
        <f>IF(COUNTIF(AB28:AB31,CONCATENATE("=",AB30))=1,0,COUNTIF(AB28:AB31,CONCATENATE("=",AB30)))*AB30</f>
        <v>0</v>
      </c>
      <c r="AE30" s="10"/>
      <c r="AF30" s="11"/>
      <c r="AG30" s="11">
        <f>IF(AB30=AF28,1,0)</f>
        <v>0</v>
      </c>
      <c r="AH30" s="11">
        <f>COUNTIF(AY7:AZ54,CONCATENATE(V30,"_win"))</f>
        <v>0</v>
      </c>
      <c r="AI30" s="11">
        <f>SUMIF(BE7:BE54,CONCATENATE("=",V30),BF7:BF54)+SUMIF(BA7:BA54,CONCATENATE("=",V30),BB7:BB54)</f>
        <v>0</v>
      </c>
      <c r="AJ30" s="11">
        <f>SUMIF(BG7:BG54,CONCATENATE("=",V30),BH7:BH54)+SUMIF(BC7:BC54,CONCATENATE("=",V30),BD7:BD54)</f>
        <v>0</v>
      </c>
      <c r="AK30" s="10">
        <f>300*AH30+(AI30-AJ30)*10+AI30</f>
        <v>0</v>
      </c>
      <c r="AL30" s="10">
        <f>IF(AK30&gt;0,AK30,0)</f>
        <v>0</v>
      </c>
      <c r="AM30" s="10"/>
      <c r="AN30" s="10">
        <f>VLOOKUP(F30,V7:AG59,12,FALSE)+VLOOKUP(C30,V7:AG59,12,FALSE)</f>
        <v>2</v>
      </c>
      <c r="AO30" s="10" t="str">
        <f t="shared" si="0"/>
        <v>Ghána</v>
      </c>
      <c r="AP30" s="10">
        <f t="shared" si="1"/>
        <v>1</v>
      </c>
      <c r="AQ30" s="10" t="str">
        <f t="shared" si="2"/>
        <v>Ghána</v>
      </c>
      <c r="AR30" s="10">
        <f t="shared" si="3"/>
        <v>1</v>
      </c>
      <c r="AS30" s="10" t="str">
        <f t="shared" si="4"/>
        <v>Ausztrália</v>
      </c>
      <c r="AT30" s="10">
        <f t="shared" si="5"/>
        <v>1</v>
      </c>
      <c r="AU30" s="10" t="str">
        <f t="shared" si="6"/>
        <v>Ausztrália</v>
      </c>
      <c r="AV30" s="10">
        <f t="shared" si="7"/>
        <v>1</v>
      </c>
      <c r="AW30" s="10" t="str">
        <f t="shared" si="8"/>
        <v>Ghána_draw</v>
      </c>
      <c r="AX30" s="10" t="str">
        <f t="shared" si="9"/>
        <v>Ausztrália_draw</v>
      </c>
      <c r="AY30" s="10" t="str">
        <f t="shared" si="10"/>
        <v>Ghána_draw</v>
      </c>
      <c r="AZ30" s="10" t="str">
        <f t="shared" si="11"/>
        <v>Ausztrália_draw</v>
      </c>
      <c r="BA30" s="10" t="str">
        <f t="shared" si="12"/>
        <v>Ghána</v>
      </c>
      <c r="BB30" s="10">
        <f t="shared" si="13"/>
        <v>1</v>
      </c>
      <c r="BC30" s="10" t="str">
        <f t="shared" si="14"/>
        <v>Ghána</v>
      </c>
      <c r="BD30" s="10">
        <f t="shared" si="15"/>
        <v>1</v>
      </c>
      <c r="BE30" s="10" t="str">
        <f t="shared" si="16"/>
        <v>Ausztrália</v>
      </c>
      <c r="BF30" s="10">
        <f t="shared" si="17"/>
        <v>1</v>
      </c>
      <c r="BG30" s="10" t="str">
        <f t="shared" si="18"/>
        <v>Ausztrália</v>
      </c>
      <c r="BH30" s="10">
        <f t="shared" si="19"/>
        <v>1</v>
      </c>
      <c r="BI30" s="10" t="s">
        <v>79</v>
      </c>
      <c r="BJ30" s="10">
        <v>12</v>
      </c>
      <c r="BK30" s="10" t="s">
        <v>80</v>
      </c>
      <c r="BL30" s="10">
        <v>24</v>
      </c>
      <c r="BM30" s="10"/>
      <c r="BN30" s="10"/>
      <c r="BO30" s="12"/>
    </row>
    <row r="31" spans="1:67" s="6" customFormat="1" ht="13.5" customHeight="1">
      <c r="A31" s="35">
        <v>39983</v>
      </c>
      <c r="B31" s="36"/>
      <c r="C31" s="43" t="str">
        <f>V35</f>
        <v>Hollandia</v>
      </c>
      <c r="D31" s="38">
        <v>1</v>
      </c>
      <c r="E31" s="38">
        <v>0</v>
      </c>
      <c r="F31" s="39" t="str">
        <f>V37</f>
        <v>Japán</v>
      </c>
      <c r="J31" s="47" t="str">
        <f>VLOOKUP(1,U28:AB31,2,FALSE)</f>
        <v>Szerbia</v>
      </c>
      <c r="K31" s="48">
        <f>VLOOKUP(1,U28:AB31,3,FALSE)</f>
        <v>1</v>
      </c>
      <c r="L31" s="48">
        <f>VLOOKUP(1,U28:AB31,4,FALSE)</f>
        <v>0</v>
      </c>
      <c r="M31" s="48">
        <f>VLOOKUP(1,U28:AB31,5,FALSE)</f>
        <v>2</v>
      </c>
      <c r="N31" s="48" t="str">
        <f>CONCATENATE(VLOOKUP(1,U28:AB31,6,FALSE)," - ",VLOOKUP(1,U28:AB31,7,FALSE))</f>
        <v>2 - 3</v>
      </c>
      <c r="O31" s="48">
        <f>VLOOKUP(1,U28:AB31,8,FALSE)</f>
        <v>3</v>
      </c>
      <c r="P31" s="49"/>
      <c r="Q31" s="8"/>
      <c r="R31" s="8" t="s">
        <v>81</v>
      </c>
      <c r="S31" s="9">
        <f>5-(IF(T31&gt;T28,1,0)+IF(T31&gt;T29,1,0)+IF(T31&gt;T30,1,0)+IF(T31&gt;T31,1,0)+1)</f>
        <v>2</v>
      </c>
      <c r="T31" s="9">
        <f>IF(VLOOKUP(V31,J28:P31,7,FALSE)="",GMT_MIN,10-VLOOKUP(V31,J28:P31,7,FALSE))*10+U31</f>
        <v>3</v>
      </c>
      <c r="U31" s="9">
        <f>IF(AC31&gt;AC28,1,0)+IF(AC31&gt;AC29,1,0)+IF(AC31&gt;AC30,1,0)+IF(AC31&gt;AC31,1,0)+1</f>
        <v>3</v>
      </c>
      <c r="V31" s="10" t="str">
        <f>R31</f>
        <v>Ghána</v>
      </c>
      <c r="W31" s="11">
        <f>COUNTIF(AW7:AX54,CONCATENATE(V31,"_win"))</f>
        <v>1</v>
      </c>
      <c r="X31" s="11">
        <f>COUNTIF(AW7:AX54,CONCATENATE(V31,"_draw"))</f>
        <v>1</v>
      </c>
      <c r="Y31" s="11">
        <f>COUNTIF(AW7:AX54,CONCATENATE(V31,"_lose"))</f>
        <v>1</v>
      </c>
      <c r="Z31" s="11">
        <f>SUMIF(AS7:AS54,CONCATENATE("=",V31),AT7:AT54)+SUMIF(AO7:AO54,CONCATENATE("=",V31),AP7:AP54)</f>
        <v>2</v>
      </c>
      <c r="AA31" s="11">
        <f>SUMIF(AU7:AU54,CONCATENATE("=",V31),AV7:AV54)+SUMIF(AQ7:AQ54,CONCATENATE("=",V31),AR7:AR54)</f>
        <v>2</v>
      </c>
      <c r="AB31" s="11">
        <f>W31*3+X31</f>
        <v>4</v>
      </c>
      <c r="AC31" s="11">
        <f>0.1+AL31+Z31*1000+(Z31-AA31)*100000+AB31*10000000</f>
        <v>40002001.1</v>
      </c>
      <c r="AD31" s="10">
        <f>IF(COUNTIF(AB28:AB31,CONCATENATE("=",AB31))=1,0,COUNTIF(AB28:AB31,CONCATENATE("=",AB31)))*AB31</f>
        <v>8</v>
      </c>
      <c r="AE31" s="10"/>
      <c r="AF31" s="11"/>
      <c r="AG31" s="11">
        <f>IF(AB31=AF28,1,0)</f>
        <v>1</v>
      </c>
      <c r="AH31" s="11">
        <f>COUNTIF(AY7:AZ54,CONCATENATE(V31,"_win"))</f>
        <v>0</v>
      </c>
      <c r="AI31" s="11">
        <f>SUMIF(BE7:BE54,CONCATENATE("=",V31),BF7:BF54)+SUMIF(BA7:BA54,CONCATENATE("=",V31),BB7:BB54)</f>
        <v>1</v>
      </c>
      <c r="AJ31" s="11">
        <f>SUMIF(BG7:BG54,CONCATENATE("=",V31),BH7:BH54)+SUMIF(BC7:BC54,CONCATENATE("=",V31),BD7:BD54)</f>
        <v>1</v>
      </c>
      <c r="AK31" s="10">
        <f>300*AH31+(AI31-AJ31)*10+AI31</f>
        <v>1</v>
      </c>
      <c r="AL31" s="10">
        <f>IF(AK31&gt;0,AK31,0)</f>
        <v>1</v>
      </c>
      <c r="AM31" s="10"/>
      <c r="AN31" s="10">
        <f>VLOOKUP(F31,V7:AG59,12,FALSE)+VLOOKUP(C31,V7:AG59,12,FALSE)</f>
        <v>1</v>
      </c>
      <c r="AO31" s="10" t="str">
        <f t="shared" si="0"/>
        <v>Hollandia</v>
      </c>
      <c r="AP31" s="10">
        <f t="shared" si="1"/>
        <v>1</v>
      </c>
      <c r="AQ31" s="10" t="str">
        <f t="shared" si="2"/>
        <v>Hollandia</v>
      </c>
      <c r="AR31" s="10">
        <f t="shared" si="3"/>
        <v>0</v>
      </c>
      <c r="AS31" s="10" t="str">
        <f t="shared" si="4"/>
        <v>Japán</v>
      </c>
      <c r="AT31" s="10">
        <f t="shared" si="5"/>
        <v>0</v>
      </c>
      <c r="AU31" s="10" t="str">
        <f t="shared" si="6"/>
        <v>Japán</v>
      </c>
      <c r="AV31" s="10">
        <f t="shared" si="7"/>
        <v>1</v>
      </c>
      <c r="AW31" s="10" t="str">
        <f t="shared" si="8"/>
        <v>Hollandia_win</v>
      </c>
      <c r="AX31" s="10" t="str">
        <f t="shared" si="9"/>
        <v>Japán_lose</v>
      </c>
      <c r="AY31" s="10">
        <f t="shared" si="10"/>
      </c>
      <c r="AZ31" s="10">
        <f t="shared" si="11"/>
      </c>
      <c r="BA31" s="10">
        <f t="shared" si="12"/>
      </c>
      <c r="BB31" s="10">
        <f t="shared" si="13"/>
      </c>
      <c r="BC31" s="10">
        <f t="shared" si="14"/>
      </c>
      <c r="BD31" s="10">
        <f t="shared" si="15"/>
      </c>
      <c r="BE31" s="10">
        <f t="shared" si="16"/>
      </c>
      <c r="BF31" s="10">
        <f t="shared" si="17"/>
      </c>
      <c r="BG31" s="10">
        <f t="shared" si="18"/>
      </c>
      <c r="BH31" s="10">
        <f t="shared" si="19"/>
      </c>
      <c r="BI31" s="10"/>
      <c r="BJ31" s="10"/>
      <c r="BK31" s="10" t="s">
        <v>82</v>
      </c>
      <c r="BL31" s="10">
        <v>25</v>
      </c>
      <c r="BM31" s="10"/>
      <c r="BN31" s="10"/>
      <c r="BO31" s="12"/>
    </row>
    <row r="32" spans="1:109" ht="13.5" customHeight="1">
      <c r="A32" s="35">
        <v>39983</v>
      </c>
      <c r="B32" s="36"/>
      <c r="C32" s="43" t="str">
        <f>V38</f>
        <v>Kamerun</v>
      </c>
      <c r="D32" s="38">
        <v>1</v>
      </c>
      <c r="E32" s="38">
        <v>2</v>
      </c>
      <c r="F32" s="39" t="str">
        <f>V36</f>
        <v>Dánia</v>
      </c>
      <c r="J32" s="50"/>
      <c r="K32" s="51"/>
      <c r="L32" s="51"/>
      <c r="M32" s="51"/>
      <c r="N32" s="51"/>
      <c r="O32" s="51"/>
      <c r="P32" s="51"/>
      <c r="AD32" s="10">
        <f>MAX(AD28:AD31)</f>
        <v>8</v>
      </c>
      <c r="AN32" s="10">
        <f>VLOOKUP(F32,V7:AG59,12,FALSE)+VLOOKUP(C32,V7:AG59,12,FALSE)</f>
        <v>0</v>
      </c>
      <c r="AO32" s="10" t="str">
        <f t="shared" si="0"/>
        <v>Kamerun</v>
      </c>
      <c r="AP32" s="10">
        <f t="shared" si="1"/>
        <v>1</v>
      </c>
      <c r="AQ32" s="10" t="str">
        <f t="shared" si="2"/>
        <v>Kamerun</v>
      </c>
      <c r="AR32" s="10">
        <f t="shared" si="3"/>
        <v>2</v>
      </c>
      <c r="AS32" s="10" t="str">
        <f t="shared" si="4"/>
        <v>Dánia</v>
      </c>
      <c r="AT32" s="10">
        <f t="shared" si="5"/>
        <v>2</v>
      </c>
      <c r="AU32" s="10" t="str">
        <f t="shared" si="6"/>
        <v>Dánia</v>
      </c>
      <c r="AV32" s="10">
        <f t="shared" si="7"/>
        <v>1</v>
      </c>
      <c r="AW32" s="10" t="str">
        <f t="shared" si="8"/>
        <v>Kamerun_lose</v>
      </c>
      <c r="AX32" s="10" t="str">
        <f t="shared" si="9"/>
        <v>Dánia_win</v>
      </c>
      <c r="AY32" s="10">
        <f t="shared" si="10"/>
      </c>
      <c r="AZ32" s="10">
        <f t="shared" si="11"/>
      </c>
      <c r="BA32" s="10">
        <f t="shared" si="12"/>
      </c>
      <c r="BB32" s="10">
        <f t="shared" si="13"/>
      </c>
      <c r="BC32" s="10">
        <f t="shared" si="14"/>
      </c>
      <c r="BD32" s="10">
        <f t="shared" si="15"/>
      </c>
      <c r="BE32" s="10">
        <f t="shared" si="16"/>
      </c>
      <c r="BF32" s="10">
        <f t="shared" si="17"/>
      </c>
      <c r="BG32" s="10">
        <f t="shared" si="18"/>
      </c>
      <c r="BH32" s="10">
        <f t="shared" si="19"/>
      </c>
      <c r="BK32" s="10" t="s">
        <v>83</v>
      </c>
      <c r="BL32" s="10">
        <v>26</v>
      </c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09" ht="13.5" customHeight="1">
      <c r="A33" s="35">
        <v>39984</v>
      </c>
      <c r="B33" s="36"/>
      <c r="C33" s="43" t="str">
        <f>V45</f>
        <v>Szlovákia</v>
      </c>
      <c r="D33" s="38">
        <v>0</v>
      </c>
      <c r="E33" s="38">
        <v>2</v>
      </c>
      <c r="F33" s="39" t="str">
        <f>V43</f>
        <v>Paraguay</v>
      </c>
      <c r="J33" s="30" t="str">
        <f>CONCATENATE(INDEX(T,40,language)," E")</f>
        <v>Group E</v>
      </c>
      <c r="K33" s="31" t="str">
        <f>INDEX(T,35,language)</f>
        <v>W</v>
      </c>
      <c r="L33" s="31" t="str">
        <f>INDEX(T,36,language)</f>
        <v>D</v>
      </c>
      <c r="M33" s="31" t="str">
        <f>INDEX(T,37,language)</f>
        <v>L</v>
      </c>
      <c r="N33" s="31" t="str">
        <f>INDEX(T,38,language)</f>
        <v>F - A</v>
      </c>
      <c r="O33" s="31" t="str">
        <f>INDEX(T,39,language)</f>
        <v>Pnt</v>
      </c>
      <c r="P33" s="32" t="s">
        <v>3</v>
      </c>
      <c r="AN33" s="10">
        <f>VLOOKUP(F33,V7:AG59,12,FALSE)+VLOOKUP(C33,V7:AG59,12,FALSE)</f>
        <v>0</v>
      </c>
      <c r="AO33" s="10" t="str">
        <f t="shared" si="0"/>
        <v>Szlovákia</v>
      </c>
      <c r="AP33" s="10">
        <f t="shared" si="1"/>
        <v>0</v>
      </c>
      <c r="AQ33" s="10" t="str">
        <f t="shared" si="2"/>
        <v>Szlovákia</v>
      </c>
      <c r="AR33" s="10">
        <f t="shared" si="3"/>
        <v>2</v>
      </c>
      <c r="AS33" s="10" t="str">
        <f t="shared" si="4"/>
        <v>Paraguay</v>
      </c>
      <c r="AT33" s="10">
        <f t="shared" si="5"/>
        <v>2</v>
      </c>
      <c r="AU33" s="10" t="str">
        <f t="shared" si="6"/>
        <v>Paraguay</v>
      </c>
      <c r="AV33" s="10">
        <f t="shared" si="7"/>
        <v>0</v>
      </c>
      <c r="AW33" s="10" t="str">
        <f t="shared" si="8"/>
        <v>Szlovákia_lose</v>
      </c>
      <c r="AX33" s="10" t="str">
        <f t="shared" si="9"/>
        <v>Paraguay_win</v>
      </c>
      <c r="AY33" s="10">
        <f t="shared" si="10"/>
      </c>
      <c r="AZ33" s="10">
        <f t="shared" si="11"/>
      </c>
      <c r="BA33" s="10">
        <f t="shared" si="12"/>
      </c>
      <c r="BB33" s="10">
        <f t="shared" si="13"/>
      </c>
      <c r="BC33" s="10">
        <f t="shared" si="14"/>
      </c>
      <c r="BD33" s="10">
        <f t="shared" si="15"/>
      </c>
      <c r="BE33" s="10">
        <f t="shared" si="16"/>
      </c>
      <c r="BF33" s="10">
        <f t="shared" si="17"/>
      </c>
      <c r="BG33" s="10">
        <f t="shared" si="18"/>
      </c>
      <c r="BH33" s="10">
        <f t="shared" si="19"/>
      </c>
      <c r="BK33" s="10" t="s">
        <v>84</v>
      </c>
      <c r="BL33" s="10">
        <v>27</v>
      </c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</row>
    <row r="34" spans="1:109" ht="13.5" customHeight="1">
      <c r="A34" s="35">
        <v>39984</v>
      </c>
      <c r="B34" s="36"/>
      <c r="C34" s="43" t="str">
        <f>V42</f>
        <v>Olaszország</v>
      </c>
      <c r="D34" s="38">
        <v>1</v>
      </c>
      <c r="E34" s="38">
        <v>1</v>
      </c>
      <c r="F34" s="39" t="str">
        <f>V44</f>
        <v>Új-Zéleand</v>
      </c>
      <c r="J34" s="30"/>
      <c r="K34" s="31"/>
      <c r="L34" s="31"/>
      <c r="M34" s="31"/>
      <c r="N34" s="31"/>
      <c r="O34" s="31"/>
      <c r="P34" s="32"/>
      <c r="AN34" s="10">
        <f>VLOOKUP(F34,V7:AG59,12,FALSE)+VLOOKUP(C34,V7:AG59,12,FALSE)</f>
        <v>1</v>
      </c>
      <c r="AO34" s="10" t="str">
        <f t="shared" si="0"/>
        <v>Olaszország</v>
      </c>
      <c r="AP34" s="10">
        <f t="shared" si="1"/>
        <v>1</v>
      </c>
      <c r="AQ34" s="10" t="str">
        <f t="shared" si="2"/>
        <v>Olaszország</v>
      </c>
      <c r="AR34" s="10">
        <f t="shared" si="3"/>
        <v>1</v>
      </c>
      <c r="AS34" s="10" t="str">
        <f t="shared" si="4"/>
        <v>Új-Zéleand</v>
      </c>
      <c r="AT34" s="10">
        <f t="shared" si="5"/>
        <v>1</v>
      </c>
      <c r="AU34" s="10" t="str">
        <f t="shared" si="6"/>
        <v>Új-Zéleand</v>
      </c>
      <c r="AV34" s="10">
        <f t="shared" si="7"/>
        <v>1</v>
      </c>
      <c r="AW34" s="10" t="str">
        <f t="shared" si="8"/>
        <v>Olaszország_draw</v>
      </c>
      <c r="AX34" s="10" t="str">
        <f t="shared" si="9"/>
        <v>Új-Zéleand_draw</v>
      </c>
      <c r="AY34" s="10">
        <f t="shared" si="10"/>
      </c>
      <c r="AZ34" s="10">
        <f t="shared" si="11"/>
      </c>
      <c r="BA34" s="10">
        <f t="shared" si="12"/>
      </c>
      <c r="BB34" s="10">
        <f t="shared" si="13"/>
      </c>
      <c r="BC34" s="10">
        <f t="shared" si="14"/>
      </c>
      <c r="BD34" s="10">
        <f t="shared" si="15"/>
      </c>
      <c r="BE34" s="10">
        <f t="shared" si="16"/>
      </c>
      <c r="BF34" s="10">
        <f t="shared" si="17"/>
      </c>
      <c r="BG34" s="10">
        <f t="shared" si="18"/>
      </c>
      <c r="BH34" s="10">
        <f t="shared" si="19"/>
      </c>
      <c r="BK34" s="10" t="s">
        <v>85</v>
      </c>
      <c r="BL34" s="10">
        <v>28</v>
      </c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</row>
    <row r="35" spans="1:67" s="6" customFormat="1" ht="13.5" customHeight="1">
      <c r="A35" s="35">
        <v>39984</v>
      </c>
      <c r="B35" s="36"/>
      <c r="C35" s="43" t="str">
        <f>V49</f>
        <v>Elefántcsontpart</v>
      </c>
      <c r="D35" s="38">
        <v>1</v>
      </c>
      <c r="E35" s="38">
        <v>3</v>
      </c>
      <c r="F35" s="39" t="str">
        <f>V51</f>
        <v>Brazília</v>
      </c>
      <c r="J35" s="40" t="str">
        <f>VLOOKUP(4,U35:AB38,2,FALSE)</f>
        <v>Hollandia</v>
      </c>
      <c r="K35" s="41">
        <f>VLOOKUP(4,U35:AB38,3,FALSE)</f>
        <v>3</v>
      </c>
      <c r="L35" s="41">
        <f>VLOOKUP(4,U35:AB38,4,FALSE)</f>
        <v>0</v>
      </c>
      <c r="M35" s="41">
        <f>VLOOKUP(4,U35:AB38,5,FALSE)</f>
        <v>0</v>
      </c>
      <c r="N35" s="41" t="str">
        <f>CONCATENATE(VLOOKUP(4,U35:AB38,6,FALSE)," - ",VLOOKUP(4,U35:AB38,7,FALSE))</f>
        <v>5 - 1</v>
      </c>
      <c r="O35" s="41">
        <f>VLOOKUP(4,U35:AB38,8,FALSE)</f>
        <v>9</v>
      </c>
      <c r="P35" s="42"/>
      <c r="Q35" s="8"/>
      <c r="R35" s="8" t="s">
        <v>86</v>
      </c>
      <c r="S35" s="9">
        <f>5-(IF(T35&gt;T35,1,0)+IF(T35&gt;T36,1,0)+IF(T35&gt;T37,1,0)+IF(T35&gt;T38,1,0)+1)</f>
        <v>1</v>
      </c>
      <c r="T35" s="9">
        <f>IF(VLOOKUP(V35,J35:P38,7,FALSE)="",GMT_MIN,10-VLOOKUP(V35,J35:P38,7,FALSE))*10+U35</f>
        <v>4</v>
      </c>
      <c r="U35" s="9">
        <f>IF(AC35&gt;AC35,1,0)+IF(AC35&gt;AC36,1,0)+IF(AC35&gt;AC37,1,0)+IF(AC35&gt;AC38,1,0)+1</f>
        <v>4</v>
      </c>
      <c r="V35" s="10" t="str">
        <f>R35</f>
        <v>Hollandia</v>
      </c>
      <c r="W35" s="11">
        <f>COUNTIF(AW7:AX54,CONCATENATE(V35,"_win"))</f>
        <v>3</v>
      </c>
      <c r="X35" s="11">
        <f>COUNTIF(AW7:AX54,CONCATENATE(V35,"_draw"))</f>
        <v>0</v>
      </c>
      <c r="Y35" s="11">
        <f>COUNTIF(AW7:AX54,CONCATENATE(V35,"_lose"))</f>
        <v>0</v>
      </c>
      <c r="Z35" s="11">
        <f>SUMIF(AS7:AS54,CONCATENATE("=",V35),AT7:AT54)+SUMIF(AO7:AO54,CONCATENATE("=",V35),AP7:AP54)</f>
        <v>5</v>
      </c>
      <c r="AA35" s="11">
        <f>SUMIF(AU7:AU54,CONCATENATE("=",V35),AV7:AV54)+SUMIF(AQ7:AQ54,CONCATENATE("=",V35),AR7:AR54)</f>
        <v>1</v>
      </c>
      <c r="AB35" s="11">
        <f>W35*3+X35</f>
        <v>9</v>
      </c>
      <c r="AC35" s="11">
        <f>0.4+AL35+Z35*1000+(Z35-AA35)*100000+AB35*10000000</f>
        <v>90405000.4</v>
      </c>
      <c r="AD35" s="10">
        <f>IF(COUNTIF(AB35:AB38,CONCATENATE("=",AB35))=1,0,COUNTIF(AB35:AB38,CONCATENATE("=",AB35)))*AB35</f>
        <v>0</v>
      </c>
      <c r="AE35" s="10" t="str">
        <f>IF(SUM(W35:Y38)=12,VLOOKUP(1,S35:V38,4,FALSE),INDEX(T,56,language))</f>
        <v>Hollandia</v>
      </c>
      <c r="AF35" s="11">
        <f>IF(AD35=AD39,AB35,IF(AD36=AD39,AB36,IF(AD37=AD39,AB37,AB38)))</f>
        <v>9</v>
      </c>
      <c r="AG35" s="11">
        <f>IF(AB35=AF35,1,0)</f>
        <v>1</v>
      </c>
      <c r="AH35" s="11">
        <f>COUNTIF(AY7:AZ54,CONCATENATE(V35,"_win"))</f>
        <v>0</v>
      </c>
      <c r="AI35" s="11">
        <f>SUMIF(BE7:BE54,CONCATENATE("=",V35),BF7:BF54)+SUMIF(BA7:BA54,CONCATENATE("=",V35),BB7:BB54)</f>
        <v>0</v>
      </c>
      <c r="AJ35" s="11">
        <f>SUMIF(BG7:BG54,CONCATENATE("=",V35),BH7:BH54)+SUMIF(BC7:BC54,CONCATENATE("=",V35),BD7:BD54)</f>
        <v>0</v>
      </c>
      <c r="AK35" s="10">
        <f>300*AH35+(AI35-AJ35)*10+AI35</f>
        <v>0</v>
      </c>
      <c r="AL35" s="10">
        <f>IF(AK35&gt;0,AK35,0)</f>
        <v>0</v>
      </c>
      <c r="AM35" s="10"/>
      <c r="AN35" s="10">
        <f>VLOOKUP(F35,V7:AG59,12,FALSE)+VLOOKUP(C35,V7:AG59,12,FALSE)</f>
        <v>1</v>
      </c>
      <c r="AO35" s="10" t="str">
        <f t="shared" si="0"/>
        <v>Elefántcsontpart</v>
      </c>
      <c r="AP35" s="10">
        <f t="shared" si="1"/>
        <v>1</v>
      </c>
      <c r="AQ35" s="10" t="str">
        <f t="shared" si="2"/>
        <v>Elefántcsontpart</v>
      </c>
      <c r="AR35" s="10">
        <f t="shared" si="3"/>
        <v>3</v>
      </c>
      <c r="AS35" s="10" t="str">
        <f t="shared" si="4"/>
        <v>Brazília</v>
      </c>
      <c r="AT35" s="10">
        <f t="shared" si="5"/>
        <v>3</v>
      </c>
      <c r="AU35" s="10" t="str">
        <f t="shared" si="6"/>
        <v>Brazília</v>
      </c>
      <c r="AV35" s="10">
        <f t="shared" si="7"/>
        <v>1</v>
      </c>
      <c r="AW35" s="10" t="str">
        <f t="shared" si="8"/>
        <v>Elefántcsontpart_lose</v>
      </c>
      <c r="AX35" s="10" t="str">
        <f t="shared" si="9"/>
        <v>Brazília_win</v>
      </c>
      <c r="AY35" s="10">
        <f t="shared" si="10"/>
      </c>
      <c r="AZ35" s="10">
        <f t="shared" si="11"/>
      </c>
      <c r="BA35" s="10">
        <f t="shared" si="12"/>
      </c>
      <c r="BB35" s="10">
        <f t="shared" si="13"/>
      </c>
      <c r="BC35" s="10">
        <f t="shared" si="14"/>
      </c>
      <c r="BD35" s="10">
        <f t="shared" si="15"/>
      </c>
      <c r="BE35" s="10">
        <f t="shared" si="16"/>
      </c>
      <c r="BF35" s="10">
        <f t="shared" si="17"/>
      </c>
      <c r="BG35" s="10">
        <f t="shared" si="18"/>
      </c>
      <c r="BH35" s="10">
        <f t="shared" si="19"/>
      </c>
      <c r="BI35" s="10"/>
      <c r="BJ35" s="10"/>
      <c r="BK35" s="10" t="s">
        <v>87</v>
      </c>
      <c r="BL35" s="10">
        <v>29</v>
      </c>
      <c r="BM35" s="10"/>
      <c r="BN35" s="10"/>
      <c r="BO35" s="12"/>
    </row>
    <row r="36" spans="1:67" s="6" customFormat="1" ht="13.5" customHeight="1">
      <c r="A36" s="35">
        <v>39985</v>
      </c>
      <c r="B36" s="36"/>
      <c r="C36" s="43" t="str">
        <f>V52</f>
        <v>Észak-Korea</v>
      </c>
      <c r="D36" s="38">
        <v>0</v>
      </c>
      <c r="E36" s="38">
        <v>7</v>
      </c>
      <c r="F36" s="39" t="str">
        <f>V50</f>
        <v>Portugália</v>
      </c>
      <c r="J36" s="44" t="str">
        <f>VLOOKUP(3,U35:AB38,2,FALSE)</f>
        <v>Japán</v>
      </c>
      <c r="K36" s="45">
        <f>VLOOKUP(3,U35:AB38,3,FALSE)</f>
        <v>2</v>
      </c>
      <c r="L36" s="45">
        <f>VLOOKUP(3,U35:AB38,4,FALSE)</f>
        <v>0</v>
      </c>
      <c r="M36" s="45">
        <f>VLOOKUP(3,U35:AB38,5,FALSE)</f>
        <v>1</v>
      </c>
      <c r="N36" s="45" t="str">
        <f>CONCATENATE(VLOOKUP(3,U35:AB38,6,FALSE)," - ",VLOOKUP(3,U35:AB38,7,FALSE))</f>
        <v>4 - 2</v>
      </c>
      <c r="O36" s="45">
        <f>VLOOKUP(3,U35:AB38,8,FALSE)</f>
        <v>6</v>
      </c>
      <c r="P36" s="46"/>
      <c r="Q36" s="8"/>
      <c r="R36" s="8" t="s">
        <v>88</v>
      </c>
      <c r="S36" s="9">
        <f>5-(IF(T36&gt;T35,1,0)+IF(T36&gt;T36,1,0)+IF(T36&gt;T37,1,0)+IF(T36&gt;T38,1,0)+1)</f>
        <v>3</v>
      </c>
      <c r="T36" s="9">
        <f>IF(VLOOKUP(V36,J35:P38,7,FALSE)="",GMT_MIN,10-VLOOKUP(V36,J35:P38,7,FALSE))*10+U36</f>
        <v>2</v>
      </c>
      <c r="U36" s="9">
        <f>IF(AC36&gt;AC35,1,0)+IF(AC36&gt;AC36,1,0)+IF(AC36&gt;AC37,1,0)+IF(AC36&gt;AC38,1,0)+1</f>
        <v>2</v>
      </c>
      <c r="V36" s="10" t="str">
        <f>R36</f>
        <v>Dánia</v>
      </c>
      <c r="W36" s="11">
        <f>COUNTIF(AW7:AX54,CONCATENATE(V36,"_win"))</f>
        <v>1</v>
      </c>
      <c r="X36" s="11">
        <f>COUNTIF(AW7:AX54,CONCATENATE(V36,"_draw"))</f>
        <v>0</v>
      </c>
      <c r="Y36" s="11">
        <f>COUNTIF(AW7:AX54,CONCATENATE(V36,"_lose"))</f>
        <v>2</v>
      </c>
      <c r="Z36" s="11">
        <f>SUMIF(AS7:AS54,CONCATENATE("=",V36),AT7:AT54)+SUMIF(AO7:AO54,CONCATENATE("=",V36),AP7:AP54)</f>
        <v>3</v>
      </c>
      <c r="AA36" s="11">
        <f>SUMIF(AU7:AU54,CONCATENATE("=",V36),AV7:AV54)+SUMIF(AQ7:AQ54,CONCATENATE("=",V36),AR7:AR54)</f>
        <v>6</v>
      </c>
      <c r="AB36" s="11">
        <f>W36*3+X36</f>
        <v>3</v>
      </c>
      <c r="AC36" s="11">
        <f>0.3+AL36+Z36*1000+(Z36-AA36)*100000+AB36*10000000</f>
        <v>29703000.3</v>
      </c>
      <c r="AD36" s="10">
        <f>IF(COUNTIF(AB35:AB38,CONCATENATE("=",AB36))=1,0,COUNTIF(AB35:AB38,CONCATENATE("=",AB36)))*AB36</f>
        <v>0</v>
      </c>
      <c r="AE36" s="10" t="str">
        <f>IF(SUM(W35:Y38)=12,VLOOKUP(2,S35:V38,4,FALSE),INDEX(T,57,language))</f>
        <v>Japán</v>
      </c>
      <c r="AF36" s="11"/>
      <c r="AG36" s="11">
        <f>IF(AB36=AF35,1,0)</f>
        <v>0</v>
      </c>
      <c r="AH36" s="11">
        <f>COUNTIF(AY7:AZ54,CONCATENATE(V36,"_win"))</f>
        <v>0</v>
      </c>
      <c r="AI36" s="11">
        <f>SUMIF(BE7:BE54,CONCATENATE("=",V36),BF7:BF54)+SUMIF(BA7:BA54,CONCATENATE("=",V36),BB7:BB54)</f>
        <v>0</v>
      </c>
      <c r="AJ36" s="11">
        <f>SUMIF(BG7:BG54,CONCATENATE("=",V36),BH7:BH54)+SUMIF(BC7:BC54,CONCATENATE("=",V36),BD7:BD54)</f>
        <v>0</v>
      </c>
      <c r="AK36" s="10">
        <f>300*AH36+(AI36-AJ36)*10+AI36</f>
        <v>0</v>
      </c>
      <c r="AL36" s="10">
        <f>IF(AK36&gt;0,AK36,0)</f>
        <v>0</v>
      </c>
      <c r="AM36" s="10"/>
      <c r="AN36" s="10">
        <f>VLOOKUP(F36,V7:AG59,12,FALSE)+VLOOKUP(C36,V7:AG59,12,FALSE)</f>
        <v>0</v>
      </c>
      <c r="AO36" s="10" t="str">
        <f t="shared" si="0"/>
        <v>Észak-Korea</v>
      </c>
      <c r="AP36" s="10">
        <f t="shared" si="1"/>
        <v>0</v>
      </c>
      <c r="AQ36" s="10" t="str">
        <f t="shared" si="2"/>
        <v>Észak-Korea</v>
      </c>
      <c r="AR36" s="10">
        <f t="shared" si="3"/>
        <v>7</v>
      </c>
      <c r="AS36" s="10" t="str">
        <f t="shared" si="4"/>
        <v>Portugália</v>
      </c>
      <c r="AT36" s="10">
        <f t="shared" si="5"/>
        <v>7</v>
      </c>
      <c r="AU36" s="10" t="str">
        <f t="shared" si="6"/>
        <v>Portugália</v>
      </c>
      <c r="AV36" s="10">
        <f t="shared" si="7"/>
        <v>0</v>
      </c>
      <c r="AW36" s="10" t="str">
        <f t="shared" si="8"/>
        <v>Észak-Korea_lose</v>
      </c>
      <c r="AX36" s="10" t="str">
        <f t="shared" si="9"/>
        <v>Portugália_win</v>
      </c>
      <c r="AY36" s="10">
        <f t="shared" si="10"/>
      </c>
      <c r="AZ36" s="10">
        <f t="shared" si="11"/>
      </c>
      <c r="BA36" s="10">
        <f t="shared" si="12"/>
      </c>
      <c r="BB36" s="10">
        <f t="shared" si="13"/>
      </c>
      <c r="BC36" s="10">
        <f t="shared" si="14"/>
      </c>
      <c r="BD36" s="10">
        <f t="shared" si="15"/>
      </c>
      <c r="BE36" s="10">
        <f t="shared" si="16"/>
      </c>
      <c r="BF36" s="10">
        <f t="shared" si="17"/>
      </c>
      <c r="BG36" s="10">
        <f t="shared" si="18"/>
      </c>
      <c r="BH36" s="10">
        <f t="shared" si="19"/>
      </c>
      <c r="BI36" s="10"/>
      <c r="BJ36" s="10"/>
      <c r="BK36" s="10" t="s">
        <v>89</v>
      </c>
      <c r="BL36" s="10">
        <v>30</v>
      </c>
      <c r="BM36" s="10"/>
      <c r="BN36" s="10"/>
      <c r="BO36" s="12"/>
    </row>
    <row r="37" spans="1:67" s="6" customFormat="1" ht="13.5" customHeight="1">
      <c r="A37" s="35">
        <v>39985</v>
      </c>
      <c r="B37" s="36"/>
      <c r="C37" s="43" t="str">
        <f>V59</f>
        <v>Svájc</v>
      </c>
      <c r="D37" s="38">
        <v>0</v>
      </c>
      <c r="E37" s="38">
        <v>1</v>
      </c>
      <c r="F37" s="39" t="str">
        <f>V57</f>
        <v>Chile</v>
      </c>
      <c r="J37" s="44" t="str">
        <f>VLOOKUP(2,U35:AB38,2,FALSE)</f>
        <v>Dánia</v>
      </c>
      <c r="K37" s="45">
        <f>VLOOKUP(2,U35:AB38,3,FALSE)</f>
        <v>1</v>
      </c>
      <c r="L37" s="45">
        <f>VLOOKUP(2,U35:AB38,4,FALSE)</f>
        <v>0</v>
      </c>
      <c r="M37" s="45">
        <f>VLOOKUP(2,U35:AB38,5,FALSE)</f>
        <v>2</v>
      </c>
      <c r="N37" s="45" t="str">
        <f>CONCATENATE(VLOOKUP(2,U35:AB38,6,FALSE)," - ",VLOOKUP(2,U35:AB38,7,FALSE))</f>
        <v>3 - 6</v>
      </c>
      <c r="O37" s="45">
        <f>VLOOKUP(2,U35:AB38,8,FALSE)</f>
        <v>3</v>
      </c>
      <c r="P37" s="46"/>
      <c r="Q37" s="8"/>
      <c r="R37" s="8" t="s">
        <v>90</v>
      </c>
      <c r="S37" s="9">
        <f>5-(IF(T37&gt;T35,1,0)+IF(T37&gt;T36,1,0)+IF(T37&gt;T37,1,0)+IF(T37&gt;T38,1,0)+1)</f>
        <v>2</v>
      </c>
      <c r="T37" s="9">
        <f>IF(VLOOKUP(V37,J35:P38,7,FALSE)="",GMT_MIN,10-VLOOKUP(V37,J35:P38,7,FALSE))*10+U37</f>
        <v>3</v>
      </c>
      <c r="U37" s="9">
        <f>IF(AC37&gt;AC35,1,0)+IF(AC37&gt;AC36,1,0)+IF(AC37&gt;AC37,1,0)+IF(AC37&gt;AC38,1,0)+1</f>
        <v>3</v>
      </c>
      <c r="V37" s="10" t="str">
        <f>R37</f>
        <v>Japán</v>
      </c>
      <c r="W37" s="11">
        <f>COUNTIF(AW7:AX54,CONCATENATE(V37,"_win"))</f>
        <v>2</v>
      </c>
      <c r="X37" s="11">
        <f>COUNTIF(AW7:AX54,CONCATENATE(V37,"_draw"))</f>
        <v>0</v>
      </c>
      <c r="Y37" s="11">
        <f>COUNTIF(AW7:AX54,CONCATENATE(V37,"_lose"))</f>
        <v>1</v>
      </c>
      <c r="Z37" s="11">
        <f>SUMIF(AS7:AS54,CONCATENATE("=",V37),AT7:AT54)+SUMIF(AO7:AO54,CONCATENATE("=",V37),AP7:AP54)</f>
        <v>4</v>
      </c>
      <c r="AA37" s="11">
        <f>SUMIF(AU7:AU54,CONCATENATE("=",V37),AV7:AV54)+SUMIF(AQ7:AQ54,CONCATENATE("=",V37),AR7:AR54)</f>
        <v>2</v>
      </c>
      <c r="AB37" s="11">
        <f>W37*3+X37</f>
        <v>6</v>
      </c>
      <c r="AC37" s="11">
        <f>0.2+AL37+Z37*1000+(Z37-AA37)*100000+AB37*10000000</f>
        <v>60204000.2</v>
      </c>
      <c r="AD37" s="10">
        <f>IF(COUNTIF(AB35:AB38,CONCATENATE("=",AB37))=1,0,COUNTIF(AB35:AB38,CONCATENATE("=",AB37)))*AB37</f>
        <v>0</v>
      </c>
      <c r="AE37" s="10"/>
      <c r="AF37" s="11"/>
      <c r="AG37" s="11">
        <f>IF(AB37=AF35,1,0)</f>
        <v>0</v>
      </c>
      <c r="AH37" s="11">
        <f>COUNTIF(AY7:AZ54,CONCATENATE(V37,"_win"))</f>
        <v>0</v>
      </c>
      <c r="AI37" s="11">
        <f>SUMIF(BE7:BE54,CONCATENATE("=",V37),BF7:BF54)+SUMIF(BA7:BA54,CONCATENATE("=",V37),BB7:BB54)</f>
        <v>0</v>
      </c>
      <c r="AJ37" s="11">
        <f>SUMIF(BG7:BG54,CONCATENATE("=",V37),BH7:BH54)+SUMIF(BC7:BC54,CONCATENATE("=",V37),BD7:BD54)</f>
        <v>0</v>
      </c>
      <c r="AK37" s="10">
        <f>300*AH37+(AI37-AJ37)*10+AI37</f>
        <v>0</v>
      </c>
      <c r="AL37" s="10">
        <f>IF(AK37&gt;0,AK37,0)</f>
        <v>0</v>
      </c>
      <c r="AM37" s="10"/>
      <c r="AN37" s="10">
        <f>VLOOKUP(F37,V7:AG59,12,FALSE)+VLOOKUP(C37,V7:AG59,12,FALSE)</f>
        <v>1</v>
      </c>
      <c r="AO37" s="10" t="str">
        <f t="shared" si="0"/>
        <v>Svájc</v>
      </c>
      <c r="AP37" s="10">
        <f t="shared" si="1"/>
        <v>0</v>
      </c>
      <c r="AQ37" s="10" t="str">
        <f t="shared" si="2"/>
        <v>Svájc</v>
      </c>
      <c r="AR37" s="10">
        <f t="shared" si="3"/>
        <v>1</v>
      </c>
      <c r="AS37" s="10" t="str">
        <f t="shared" si="4"/>
        <v>Chile</v>
      </c>
      <c r="AT37" s="10">
        <f t="shared" si="5"/>
        <v>1</v>
      </c>
      <c r="AU37" s="10" t="str">
        <f t="shared" si="6"/>
        <v>Chile</v>
      </c>
      <c r="AV37" s="10">
        <f t="shared" si="7"/>
        <v>0</v>
      </c>
      <c r="AW37" s="10" t="str">
        <f t="shared" si="8"/>
        <v>Svájc_lose</v>
      </c>
      <c r="AX37" s="10" t="str">
        <f t="shared" si="9"/>
        <v>Chile_win</v>
      </c>
      <c r="AY37" s="10">
        <f t="shared" si="10"/>
      </c>
      <c r="AZ37" s="10">
        <f t="shared" si="11"/>
      </c>
      <c r="BA37" s="10">
        <f t="shared" si="12"/>
      </c>
      <c r="BB37" s="10">
        <f t="shared" si="13"/>
      </c>
      <c r="BC37" s="10">
        <f t="shared" si="14"/>
      </c>
      <c r="BD37" s="10">
        <f t="shared" si="15"/>
      </c>
      <c r="BE37" s="10">
        <f t="shared" si="16"/>
      </c>
      <c r="BF37" s="10">
        <f t="shared" si="17"/>
      </c>
      <c r="BG37" s="10">
        <f t="shared" si="18"/>
      </c>
      <c r="BH37" s="10">
        <f t="shared" si="19"/>
      </c>
      <c r="BI37" s="10"/>
      <c r="BJ37" s="10"/>
      <c r="BK37" s="10" t="s">
        <v>91</v>
      </c>
      <c r="BL37" s="10">
        <v>31</v>
      </c>
      <c r="BM37" s="10"/>
      <c r="BN37" s="10"/>
      <c r="BO37" s="12"/>
    </row>
    <row r="38" spans="1:67" s="6" customFormat="1" ht="13.5" customHeight="1">
      <c r="A38" s="35">
        <v>39985</v>
      </c>
      <c r="B38" s="36"/>
      <c r="C38" s="43" t="str">
        <f>V56</f>
        <v>Honduras</v>
      </c>
      <c r="D38" s="38">
        <v>0</v>
      </c>
      <c r="E38" s="38">
        <v>2</v>
      </c>
      <c r="F38" s="39" t="str">
        <f>V58</f>
        <v>Spanyolország</v>
      </c>
      <c r="J38" s="47" t="str">
        <f>VLOOKUP(1,U35:AB38,2,FALSE)</f>
        <v>Kamerun</v>
      </c>
      <c r="K38" s="48">
        <f>VLOOKUP(1,U35:AB38,3,FALSE)</f>
        <v>0</v>
      </c>
      <c r="L38" s="48">
        <f>VLOOKUP(1,U35:AB38,4,FALSE)</f>
        <v>0</v>
      </c>
      <c r="M38" s="48">
        <f>VLOOKUP(1,U35:AB38,5,FALSE)</f>
        <v>3</v>
      </c>
      <c r="N38" s="48" t="str">
        <f>CONCATENATE(VLOOKUP(1,U35:AB38,6,FALSE)," - ",VLOOKUP(1,U35:AB38,7,FALSE))</f>
        <v>2 - 5</v>
      </c>
      <c r="O38" s="48">
        <f>VLOOKUP(1,U35:AB38,8,FALSE)</f>
        <v>0</v>
      </c>
      <c r="P38" s="49"/>
      <c r="Q38" s="8"/>
      <c r="R38" s="8" t="s">
        <v>92</v>
      </c>
      <c r="S38" s="9">
        <f>5-(IF(T38&gt;T35,1,0)+IF(T38&gt;T36,1,0)+IF(T38&gt;T37,1,0)+IF(T38&gt;T38,1,0)+1)</f>
        <v>4</v>
      </c>
      <c r="T38" s="9">
        <f>IF(VLOOKUP(V38,J35:P38,7,FALSE)="",GMT_MIN,10-VLOOKUP(V38,J35:P38,7,FALSE))*10+U38</f>
        <v>1</v>
      </c>
      <c r="U38" s="9">
        <f>IF(AC38&gt;AC35,1,0)+IF(AC38&gt;AC36,1,0)+IF(AC38&gt;AC37,1,0)+IF(AC38&gt;AC38,1,0)+1</f>
        <v>1</v>
      </c>
      <c r="V38" s="10" t="str">
        <f>R38</f>
        <v>Kamerun</v>
      </c>
      <c r="W38" s="11">
        <f>COUNTIF(AW7:AX54,CONCATENATE(V38,"_win"))</f>
        <v>0</v>
      </c>
      <c r="X38" s="11">
        <f>COUNTIF(AW7:AX54,CONCATENATE(V38,"_draw"))</f>
        <v>0</v>
      </c>
      <c r="Y38" s="11">
        <f>COUNTIF(AW7:AX54,CONCATENATE(V38,"_lose"))</f>
        <v>3</v>
      </c>
      <c r="Z38" s="11">
        <f>SUMIF(AS7:AS54,CONCATENATE("=",V38),AT7:AT54)+SUMIF(AO7:AO54,CONCATENATE("=",V38),AP7:AP54)</f>
        <v>2</v>
      </c>
      <c r="AA38" s="11">
        <f>SUMIF(AU7:AU54,CONCATENATE("=",V38),AV7:AV54)+SUMIF(AQ7:AQ54,CONCATENATE("=",V38),AR7:AR54)</f>
        <v>5</v>
      </c>
      <c r="AB38" s="11">
        <f>W38*3+X38</f>
        <v>0</v>
      </c>
      <c r="AC38" s="11">
        <f>0.1+AL38+Z38*1000+(Z38-AA38)*100000+AB38*10000000</f>
        <v>-297999.9</v>
      </c>
      <c r="AD38" s="10">
        <f>IF(COUNTIF(AB35:AB38,CONCATENATE("=",AB38))=1,0,COUNTIF(AB35:AB38,CONCATENATE("=",AB38)))*AB38</f>
        <v>0</v>
      </c>
      <c r="AE38" s="10"/>
      <c r="AF38" s="11"/>
      <c r="AG38" s="11">
        <f>IF(AB38=AF35,1,0)</f>
        <v>0</v>
      </c>
      <c r="AH38" s="11">
        <f>COUNTIF(AY7:AZ54,CONCATENATE(V38,"_win"))</f>
        <v>0</v>
      </c>
      <c r="AI38" s="11">
        <f>SUMIF(BE7:BE54,CONCATENATE("=",V38),BF7:BF54)+SUMIF(BA7:BA54,CONCATENATE("=",V38),BB7:BB54)</f>
        <v>0</v>
      </c>
      <c r="AJ38" s="11">
        <f>SUMIF(BG7:BG54,CONCATENATE("=",V38),BH7:BH54)+SUMIF(BC7:BC54,CONCATENATE("=",V38),BD7:BD54)</f>
        <v>0</v>
      </c>
      <c r="AK38" s="10">
        <f>300*AH38+(AI38-AJ38)*10+AI38</f>
        <v>0</v>
      </c>
      <c r="AL38" s="10">
        <f>IF(AK38&gt;0,AK38,0)</f>
        <v>0</v>
      </c>
      <c r="AM38" s="10"/>
      <c r="AN38" s="10">
        <f>VLOOKUP(F38,V7:AG59,12,FALSE)+VLOOKUP(C38,V7:AG59,12,FALSE)</f>
        <v>1</v>
      </c>
      <c r="AO38" s="10" t="str">
        <f t="shared" si="0"/>
        <v>Honduras</v>
      </c>
      <c r="AP38" s="10">
        <f t="shared" si="1"/>
        <v>0</v>
      </c>
      <c r="AQ38" s="10" t="str">
        <f t="shared" si="2"/>
        <v>Honduras</v>
      </c>
      <c r="AR38" s="10">
        <f t="shared" si="3"/>
        <v>2</v>
      </c>
      <c r="AS38" s="10" t="str">
        <f t="shared" si="4"/>
        <v>Spanyolország</v>
      </c>
      <c r="AT38" s="10">
        <f t="shared" si="5"/>
        <v>2</v>
      </c>
      <c r="AU38" s="10" t="str">
        <f t="shared" si="6"/>
        <v>Spanyolország</v>
      </c>
      <c r="AV38" s="10">
        <f t="shared" si="7"/>
        <v>0</v>
      </c>
      <c r="AW38" s="10" t="str">
        <f t="shared" si="8"/>
        <v>Honduras_lose</v>
      </c>
      <c r="AX38" s="10" t="str">
        <f t="shared" si="9"/>
        <v>Spanyolország_win</v>
      </c>
      <c r="AY38" s="10">
        <f t="shared" si="10"/>
      </c>
      <c r="AZ38" s="10">
        <f t="shared" si="11"/>
      </c>
      <c r="BA38" s="10">
        <f t="shared" si="12"/>
      </c>
      <c r="BB38" s="10">
        <f t="shared" si="13"/>
      </c>
      <c r="BC38" s="10">
        <f t="shared" si="14"/>
      </c>
      <c r="BD38" s="10">
        <f t="shared" si="15"/>
      </c>
      <c r="BE38" s="10">
        <f t="shared" si="16"/>
      </c>
      <c r="BF38" s="10">
        <f t="shared" si="17"/>
      </c>
      <c r="BG38" s="10">
        <f t="shared" si="18"/>
      </c>
      <c r="BH38" s="10">
        <f t="shared" si="19"/>
      </c>
      <c r="BI38" s="10"/>
      <c r="BJ38" s="10"/>
      <c r="BK38" s="10" t="s">
        <v>93</v>
      </c>
      <c r="BL38" s="10">
        <v>32</v>
      </c>
      <c r="BM38" s="10"/>
      <c r="BN38" s="10"/>
      <c r="BO38" s="12"/>
    </row>
    <row r="39" spans="1:109" ht="13.5" customHeight="1">
      <c r="A39" s="56">
        <v>39986</v>
      </c>
      <c r="B39" s="57"/>
      <c r="C39" s="37" t="str">
        <f>V8</f>
        <v>Mexikó</v>
      </c>
      <c r="D39" s="38">
        <v>0</v>
      </c>
      <c r="E39" s="38">
        <v>1</v>
      </c>
      <c r="F39" s="39" t="str">
        <f>V9</f>
        <v>Uruguay</v>
      </c>
      <c r="J39" s="50"/>
      <c r="K39" s="51"/>
      <c r="L39" s="51"/>
      <c r="M39" s="51"/>
      <c r="N39" s="51"/>
      <c r="O39" s="51"/>
      <c r="P39" s="51"/>
      <c r="AD39" s="10">
        <f>MAX(AD35:AD38)</f>
        <v>0</v>
      </c>
      <c r="AN39" s="10">
        <f>VLOOKUP(F39,V7:AG59,12,FALSE)+VLOOKUP(C39,V7:AG59,12,FALSE)</f>
        <v>1</v>
      </c>
      <c r="AO39" s="10" t="str">
        <f t="shared" si="0"/>
        <v>Mexikó</v>
      </c>
      <c r="AP39" s="10">
        <f t="shared" si="1"/>
        <v>0</v>
      </c>
      <c r="AQ39" s="10" t="str">
        <f t="shared" si="2"/>
        <v>Mexikó</v>
      </c>
      <c r="AR39" s="10">
        <f t="shared" si="3"/>
        <v>1</v>
      </c>
      <c r="AS39" s="10" t="str">
        <f t="shared" si="4"/>
        <v>Uruguay</v>
      </c>
      <c r="AT39" s="10">
        <f t="shared" si="5"/>
        <v>1</v>
      </c>
      <c r="AU39" s="10" t="str">
        <f t="shared" si="6"/>
        <v>Uruguay</v>
      </c>
      <c r="AV39" s="10">
        <f t="shared" si="7"/>
        <v>0</v>
      </c>
      <c r="AW39" s="10" t="str">
        <f t="shared" si="8"/>
        <v>Mexikó_lose</v>
      </c>
      <c r="AX39" s="10" t="str">
        <f t="shared" si="9"/>
        <v>Uruguay_win</v>
      </c>
      <c r="AY39" s="10">
        <f t="shared" si="10"/>
      </c>
      <c r="AZ39" s="10">
        <f t="shared" si="11"/>
      </c>
      <c r="BA39" s="10">
        <f t="shared" si="12"/>
      </c>
      <c r="BB39" s="10">
        <f t="shared" si="13"/>
      </c>
      <c r="BC39" s="10">
        <f t="shared" si="14"/>
      </c>
      <c r="BD39" s="10">
        <f t="shared" si="15"/>
      </c>
      <c r="BE39" s="10">
        <f t="shared" si="16"/>
      </c>
      <c r="BF39" s="10">
        <f t="shared" si="17"/>
      </c>
      <c r="BG39" s="10">
        <f t="shared" si="18"/>
      </c>
      <c r="BH39" s="10">
        <f t="shared" si="19"/>
      </c>
      <c r="BK39" s="10" t="s">
        <v>94</v>
      </c>
      <c r="BL39" s="10">
        <v>33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</row>
    <row r="40" spans="1:109" ht="13.5" customHeight="1">
      <c r="A40" s="35">
        <v>39986</v>
      </c>
      <c r="B40" s="36"/>
      <c r="C40" s="43" t="str">
        <f>V10</f>
        <v>Franciaország</v>
      </c>
      <c r="D40" s="38">
        <v>1</v>
      </c>
      <c r="E40" s="38">
        <v>2</v>
      </c>
      <c r="F40" s="39" t="str">
        <f>V7</f>
        <v>Dél-Afrika</v>
      </c>
      <c r="J40" s="52" t="str">
        <f>CONCATENATE(INDEX(T,40,language)," F")</f>
        <v>Group F</v>
      </c>
      <c r="K40" s="53" t="str">
        <f>INDEX(T,35,language)</f>
        <v>W</v>
      </c>
      <c r="L40" s="53" t="str">
        <f>INDEX(T,36,language)</f>
        <v>D</v>
      </c>
      <c r="M40" s="53" t="str">
        <f>INDEX(T,37,language)</f>
        <v>L</v>
      </c>
      <c r="N40" s="53" t="str">
        <f>INDEX(T,38,language)</f>
        <v>F - A</v>
      </c>
      <c r="O40" s="53" t="str">
        <f>INDEX(T,39,language)</f>
        <v>Pnt</v>
      </c>
      <c r="P40" s="54" t="s">
        <v>3</v>
      </c>
      <c r="AN40" s="10">
        <f>VLOOKUP(F40,V7:AG59,12,FALSE)+VLOOKUP(C40,V7:AG59,12,FALSE)</f>
        <v>1</v>
      </c>
      <c r="AO40" s="10" t="str">
        <f t="shared" si="0"/>
        <v>Franciaország</v>
      </c>
      <c r="AP40" s="10">
        <f t="shared" si="1"/>
        <v>1</v>
      </c>
      <c r="AQ40" s="10" t="str">
        <f t="shared" si="2"/>
        <v>Franciaország</v>
      </c>
      <c r="AR40" s="10">
        <f t="shared" si="3"/>
        <v>2</v>
      </c>
      <c r="AS40" s="10" t="str">
        <f t="shared" si="4"/>
        <v>Dél-Afrika</v>
      </c>
      <c r="AT40" s="10">
        <f t="shared" si="5"/>
        <v>2</v>
      </c>
      <c r="AU40" s="10" t="str">
        <f t="shared" si="6"/>
        <v>Dél-Afrika</v>
      </c>
      <c r="AV40" s="10">
        <f t="shared" si="7"/>
        <v>1</v>
      </c>
      <c r="AW40" s="10" t="str">
        <f t="shared" si="8"/>
        <v>Franciaország_lose</v>
      </c>
      <c r="AX40" s="10" t="str">
        <f t="shared" si="9"/>
        <v>Dél-Afrika_win</v>
      </c>
      <c r="AY40" s="10">
        <f t="shared" si="10"/>
      </c>
      <c r="AZ40" s="10">
        <f t="shared" si="11"/>
      </c>
      <c r="BA40" s="10">
        <f t="shared" si="12"/>
      </c>
      <c r="BB40" s="10">
        <f t="shared" si="13"/>
      </c>
      <c r="BC40" s="10">
        <f t="shared" si="14"/>
      </c>
      <c r="BD40" s="10">
        <f t="shared" si="15"/>
      </c>
      <c r="BE40" s="10">
        <f t="shared" si="16"/>
      </c>
      <c r="BF40" s="10">
        <f t="shared" si="17"/>
      </c>
      <c r="BG40" s="10">
        <f t="shared" si="18"/>
      </c>
      <c r="BH40" s="10">
        <f t="shared" si="19"/>
      </c>
      <c r="BK40" s="10" t="s">
        <v>95</v>
      </c>
      <c r="BL40" s="10">
        <v>34</v>
      </c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</row>
    <row r="41" spans="1:109" ht="13.5" customHeight="1">
      <c r="A41" s="35">
        <v>39986</v>
      </c>
      <c r="B41" s="36"/>
      <c r="C41" s="43" t="str">
        <f>V15</f>
        <v>Nigéria</v>
      </c>
      <c r="D41" s="38">
        <v>2</v>
      </c>
      <c r="E41" s="38">
        <v>2</v>
      </c>
      <c r="F41" s="39" t="str">
        <f>V16</f>
        <v>Koreai Köztársaság</v>
      </c>
      <c r="J41" s="52"/>
      <c r="K41" s="53"/>
      <c r="L41" s="53"/>
      <c r="M41" s="53"/>
      <c r="N41" s="53"/>
      <c r="O41" s="53"/>
      <c r="P41" s="54"/>
      <c r="AN41" s="10">
        <f>VLOOKUP(F41,V7:AG59,12,FALSE)+VLOOKUP(C41,V7:AG59,12,FALSE)</f>
        <v>0</v>
      </c>
      <c r="AO41" s="10" t="str">
        <f t="shared" si="0"/>
        <v>Nigéria</v>
      </c>
      <c r="AP41" s="10">
        <f t="shared" si="1"/>
        <v>2</v>
      </c>
      <c r="AQ41" s="10" t="str">
        <f t="shared" si="2"/>
        <v>Nigéria</v>
      </c>
      <c r="AR41" s="10">
        <f t="shared" si="3"/>
        <v>2</v>
      </c>
      <c r="AS41" s="10" t="str">
        <f t="shared" si="4"/>
        <v>Koreai Köztársaság</v>
      </c>
      <c r="AT41" s="10">
        <f t="shared" si="5"/>
        <v>2</v>
      </c>
      <c r="AU41" s="10" t="str">
        <f t="shared" si="6"/>
        <v>Koreai Köztársaság</v>
      </c>
      <c r="AV41" s="10">
        <f t="shared" si="7"/>
        <v>2</v>
      </c>
      <c r="AW41" s="10" t="str">
        <f t="shared" si="8"/>
        <v>Nigéria_draw</v>
      </c>
      <c r="AX41" s="10" t="str">
        <f t="shared" si="9"/>
        <v>Koreai Köztársaság_draw</v>
      </c>
      <c r="AY41" s="10">
        <f t="shared" si="10"/>
      </c>
      <c r="AZ41" s="10">
        <f t="shared" si="11"/>
      </c>
      <c r="BA41" s="10">
        <f t="shared" si="12"/>
      </c>
      <c r="BB41" s="10">
        <f t="shared" si="13"/>
      </c>
      <c r="BC41" s="10">
        <f t="shared" si="14"/>
      </c>
      <c r="BD41" s="10">
        <f t="shared" si="15"/>
      </c>
      <c r="BE41" s="10">
        <f t="shared" si="16"/>
      </c>
      <c r="BF41" s="10">
        <f t="shared" si="17"/>
      </c>
      <c r="BG41" s="10">
        <f t="shared" si="18"/>
      </c>
      <c r="BH41" s="10">
        <f t="shared" si="19"/>
      </c>
      <c r="BK41" s="10" t="s">
        <v>96</v>
      </c>
      <c r="BL41" s="10">
        <v>35</v>
      </c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</row>
    <row r="42" spans="1:67" s="6" customFormat="1" ht="13.5" customHeight="1">
      <c r="A42" s="35">
        <v>39986</v>
      </c>
      <c r="B42" s="36"/>
      <c r="C42" s="43" t="str">
        <f>V17</f>
        <v>Görögország</v>
      </c>
      <c r="D42" s="38">
        <v>0</v>
      </c>
      <c r="E42" s="38">
        <v>2</v>
      </c>
      <c r="F42" s="39" t="str">
        <f>V14</f>
        <v>Argentina</v>
      </c>
      <c r="J42" s="40" t="str">
        <f>VLOOKUP(4,U42:AB45,2,FALSE)</f>
        <v>Paraguay</v>
      </c>
      <c r="K42" s="41">
        <f>VLOOKUP(4,U42:AB45,3,FALSE)</f>
        <v>1</v>
      </c>
      <c r="L42" s="41">
        <f>VLOOKUP(4,U42:AB45,4,FALSE)</f>
        <v>2</v>
      </c>
      <c r="M42" s="41">
        <f>VLOOKUP(4,U42:AB45,5,FALSE)</f>
        <v>0</v>
      </c>
      <c r="N42" s="41" t="str">
        <f>CONCATENATE(VLOOKUP(4,U42:AB45,6,FALSE)," - ",VLOOKUP(4,U42:AB45,7,FALSE))</f>
        <v>3 - 1</v>
      </c>
      <c r="O42" s="41">
        <f>VLOOKUP(4,U42:AB45,8,FALSE)</f>
        <v>5</v>
      </c>
      <c r="P42" s="42"/>
      <c r="Q42" s="8"/>
      <c r="R42" s="8" t="s">
        <v>97</v>
      </c>
      <c r="S42" s="9">
        <f>5-(IF(T42&gt;T42,1,0)+IF(T42&gt;T43,1,0)+IF(T42&gt;T44,1,0)+IF(T42&gt;T45,1,0)+1)</f>
        <v>4</v>
      </c>
      <c r="T42" s="9">
        <f>IF(VLOOKUP(V42,J42:P45,7,FALSE)="",GMT_MIN,10-VLOOKUP(V42,J42:P45,7,FALSE))*10+U42</f>
        <v>1</v>
      </c>
      <c r="U42" s="9">
        <f>IF(AC42&gt;AC42,1,0)+IF(AC42&gt;AC43,1,0)+IF(AC42&gt;AC44,1,0)+IF(AC42&gt;AC45,1,0)+1</f>
        <v>1</v>
      </c>
      <c r="V42" s="10" t="str">
        <f>R42</f>
        <v>Olaszország</v>
      </c>
      <c r="W42" s="11">
        <f>COUNTIF(AW7:AX54,CONCATENATE(V42,"_win"))</f>
        <v>0</v>
      </c>
      <c r="X42" s="11">
        <f>COUNTIF(AW7:AX54,CONCATENATE(V42,"_draw"))</f>
        <v>2</v>
      </c>
      <c r="Y42" s="11">
        <f>COUNTIF(AW7:AX54,CONCATENATE(V42,"_lose"))</f>
        <v>1</v>
      </c>
      <c r="Z42" s="11">
        <f>SUMIF(AS7:AS54,CONCATENATE("=",V42),AT7:AT54)+SUMIF(AO7:AO54,CONCATENATE("=",V42),AP7:AP54)</f>
        <v>4</v>
      </c>
      <c r="AA42" s="11">
        <f>SUMIF(AU7:AU54,CONCATENATE("=",V42),AV7:AV54)+SUMIF(AQ7:AQ54,CONCATENATE("=",V42),AR7:AR54)</f>
        <v>5</v>
      </c>
      <c r="AB42" s="11">
        <f>W42*3+X42</f>
        <v>2</v>
      </c>
      <c r="AC42" s="11">
        <f>0.4+AL42+Z42*1000+(Z42-AA42)*100000+AB42*10000000</f>
        <v>19904000.4</v>
      </c>
      <c r="AD42" s="10">
        <f>IF(COUNTIF(AB42:AB45,CONCATENATE("=",AB42))=1,0,COUNTIF(AB42:AB45,CONCATENATE("=",AB42)))*AB42</f>
        <v>0</v>
      </c>
      <c r="AE42" s="10" t="str">
        <f>IF(SUM(W42:Y45)=12,VLOOKUP(1,S42:V45,4,FALSE),INDEX(T,58,language))</f>
        <v>Paraguay</v>
      </c>
      <c r="AF42" s="11">
        <f>IF(AD42=AD46,AB42,IF(AD43=AD46,AB43,IF(AD44=AD46,AB44,AB45)))</f>
        <v>2</v>
      </c>
      <c r="AG42" s="11">
        <f>IF(AB42=AF42,1,0)</f>
        <v>1</v>
      </c>
      <c r="AH42" s="11">
        <f>COUNTIF(AY7:AZ54,CONCATENATE(V42,"_win"))</f>
        <v>0</v>
      </c>
      <c r="AI42" s="11">
        <f>SUMIF(BE7:BE54,CONCATENATE("=",V42),BF7:BF54)+SUMIF(BA7:BA54,CONCATENATE("=",V42),BB7:BB54)</f>
        <v>0</v>
      </c>
      <c r="AJ42" s="11">
        <f>SUMIF(BG7:BG54,CONCATENATE("=",V42),BH7:BH54)+SUMIF(BC7:BC54,CONCATENATE("=",V42),BD7:BD54)</f>
        <v>0</v>
      </c>
      <c r="AK42" s="10">
        <f>300*AH42+(AI42-AJ42)*10+AI42</f>
        <v>0</v>
      </c>
      <c r="AL42" s="10">
        <f>IF(AK42&gt;0,AK42,0)</f>
        <v>0</v>
      </c>
      <c r="AM42" s="10"/>
      <c r="AN42" s="10">
        <f>VLOOKUP(F42,V7:AG59,12,FALSE)+VLOOKUP(C42,V7:AG59,12,FALSE)</f>
        <v>1</v>
      </c>
      <c r="AO42" s="10" t="str">
        <f t="shared" si="0"/>
        <v>Görögország</v>
      </c>
      <c r="AP42" s="10">
        <f t="shared" si="1"/>
        <v>0</v>
      </c>
      <c r="AQ42" s="10" t="str">
        <f t="shared" si="2"/>
        <v>Görögország</v>
      </c>
      <c r="AR42" s="10">
        <f t="shared" si="3"/>
        <v>2</v>
      </c>
      <c r="AS42" s="10" t="str">
        <f t="shared" si="4"/>
        <v>Argentina</v>
      </c>
      <c r="AT42" s="10">
        <f t="shared" si="5"/>
        <v>2</v>
      </c>
      <c r="AU42" s="10" t="str">
        <f t="shared" si="6"/>
        <v>Argentina</v>
      </c>
      <c r="AV42" s="10">
        <f t="shared" si="7"/>
        <v>0</v>
      </c>
      <c r="AW42" s="10" t="str">
        <f t="shared" si="8"/>
        <v>Görögország_lose</v>
      </c>
      <c r="AX42" s="10" t="str">
        <f t="shared" si="9"/>
        <v>Argentina_win</v>
      </c>
      <c r="AY42" s="10">
        <f t="shared" si="10"/>
      </c>
      <c r="AZ42" s="10">
        <f t="shared" si="11"/>
      </c>
      <c r="BA42" s="10">
        <f t="shared" si="12"/>
      </c>
      <c r="BB42" s="10">
        <f t="shared" si="13"/>
      </c>
      <c r="BC42" s="10">
        <f t="shared" si="14"/>
      </c>
      <c r="BD42" s="10">
        <f t="shared" si="15"/>
      </c>
      <c r="BE42" s="10">
        <f t="shared" si="16"/>
      </c>
      <c r="BF42" s="10">
        <f t="shared" si="17"/>
      </c>
      <c r="BG42" s="10">
        <f t="shared" si="18"/>
      </c>
      <c r="BH42" s="10">
        <f t="shared" si="19"/>
      </c>
      <c r="BI42" s="10"/>
      <c r="BJ42" s="10"/>
      <c r="BK42" s="10" t="s">
        <v>98</v>
      </c>
      <c r="BL42" s="10">
        <v>36</v>
      </c>
      <c r="BM42" s="10"/>
      <c r="BN42" s="10"/>
      <c r="BO42" s="12"/>
    </row>
    <row r="43" spans="1:67" s="6" customFormat="1" ht="13.5" customHeight="1">
      <c r="A43" s="35">
        <v>39987</v>
      </c>
      <c r="B43" s="36"/>
      <c r="C43" s="43" t="str">
        <f>V24</f>
        <v>Szlovénia</v>
      </c>
      <c r="D43" s="38">
        <v>0</v>
      </c>
      <c r="E43" s="38">
        <v>1</v>
      </c>
      <c r="F43" s="39" t="str">
        <f>V21</f>
        <v>Anglia</v>
      </c>
      <c r="J43" s="44" t="str">
        <f>VLOOKUP(3,U42:AB45,2,FALSE)</f>
        <v>Szlovákia</v>
      </c>
      <c r="K43" s="45">
        <f>VLOOKUP(3,U42:AB45,3,FALSE)</f>
        <v>1</v>
      </c>
      <c r="L43" s="45">
        <f>VLOOKUP(3,U42:AB45,4,FALSE)</f>
        <v>1</v>
      </c>
      <c r="M43" s="45">
        <f>VLOOKUP(3,U42:AB45,5,FALSE)</f>
        <v>1</v>
      </c>
      <c r="N43" s="45" t="str">
        <f>CONCATENATE(VLOOKUP(3,U42:AB45,6,FALSE)," - ",VLOOKUP(3,U42:AB45,7,FALSE))</f>
        <v>4 - 5</v>
      </c>
      <c r="O43" s="45">
        <f>VLOOKUP(3,U42:AB45,8,FALSE)</f>
        <v>4</v>
      </c>
      <c r="P43" s="46"/>
      <c r="Q43" s="8"/>
      <c r="R43" s="8" t="s">
        <v>99</v>
      </c>
      <c r="S43" s="9">
        <f>5-(IF(T43&gt;T42,1,0)+IF(T43&gt;T43,1,0)+IF(T43&gt;T44,1,0)+IF(T43&gt;T45,1,0)+1)</f>
        <v>1</v>
      </c>
      <c r="T43" s="9">
        <f>IF(VLOOKUP(V43,J42:P45,7,FALSE)="",GMT_MIN,10-VLOOKUP(V43,J42:P45,7,FALSE))*10+U43</f>
        <v>4</v>
      </c>
      <c r="U43" s="9">
        <f>IF(AC43&gt;AC42,1,0)+IF(AC43&gt;AC43,1,0)+IF(AC43&gt;AC44,1,0)+IF(AC43&gt;AC45,1,0)+1</f>
        <v>4</v>
      </c>
      <c r="V43" s="10" t="str">
        <f>R43</f>
        <v>Paraguay</v>
      </c>
      <c r="W43" s="11">
        <f>COUNTIF(AW7:AX54,CONCATENATE(V43,"_win"))</f>
        <v>1</v>
      </c>
      <c r="X43" s="11">
        <f>COUNTIF(AW7:AX54,CONCATENATE(V43,"_draw"))</f>
        <v>2</v>
      </c>
      <c r="Y43" s="11">
        <f>COUNTIF(AW7:AX54,CONCATENATE(V43,"_lose"))</f>
        <v>0</v>
      </c>
      <c r="Z43" s="11">
        <f>SUMIF(AS7:AS54,CONCATENATE("=",V43),AT7:AT54)+SUMIF(AO7:AO54,CONCATENATE("=",V43),AP7:AP54)</f>
        <v>3</v>
      </c>
      <c r="AA43" s="11">
        <f>SUMIF(AU7:AU54,CONCATENATE("=",V43),AV7:AV54)+SUMIF(AQ7:AQ54,CONCATENATE("=",V43),AR7:AR54)</f>
        <v>1</v>
      </c>
      <c r="AB43" s="11">
        <f>W43*3+X43</f>
        <v>5</v>
      </c>
      <c r="AC43" s="11">
        <f>0.3+AL43+Z43*1000+(Z43-AA43)*100000+AB43*10000000</f>
        <v>50203000.3</v>
      </c>
      <c r="AD43" s="10">
        <f>IF(COUNTIF(AB42:AB45,CONCATENATE("=",AB43))=1,0,COUNTIF(AB42:AB45,CONCATENATE("=",AB43)))*AB43</f>
        <v>0</v>
      </c>
      <c r="AE43" s="10" t="str">
        <f>IF(SUM(W42:Y45)=12,VLOOKUP(2,S42:V45,4,FALSE),INDEX(T,59,language))</f>
        <v>Szlovákia</v>
      </c>
      <c r="AF43" s="11"/>
      <c r="AG43" s="11">
        <f>IF(AB43=AF42,1,0)</f>
        <v>0</v>
      </c>
      <c r="AH43" s="11">
        <f>COUNTIF(AY7:AZ54,CONCATENATE(V43,"_win"))</f>
        <v>0</v>
      </c>
      <c r="AI43" s="11">
        <f>SUMIF(BE7:BE54,CONCATENATE("=",V43),BF7:BF54)+SUMIF(BA7:BA54,CONCATENATE("=",V43),BB7:BB54)</f>
        <v>0</v>
      </c>
      <c r="AJ43" s="11">
        <f>SUMIF(BG7:BG54,CONCATENATE("=",V43),BH7:BH54)+SUMIF(BC7:BC54,CONCATENATE("=",V43),BD7:BD54)</f>
        <v>0</v>
      </c>
      <c r="AK43" s="10">
        <f>300*AH43+(AI43-AJ43)*10+AI43</f>
        <v>0</v>
      </c>
      <c r="AL43" s="10">
        <f>IF(AK43&gt;0,AK43,0)</f>
        <v>0</v>
      </c>
      <c r="AM43" s="10"/>
      <c r="AN43" s="10">
        <f>VLOOKUP(F43,V7:AG59,12,FALSE)+VLOOKUP(C43,V7:AG59,12,FALSE)</f>
        <v>1</v>
      </c>
      <c r="AO43" s="10" t="str">
        <f t="shared" si="0"/>
        <v>Szlovénia</v>
      </c>
      <c r="AP43" s="10">
        <f t="shared" si="1"/>
        <v>0</v>
      </c>
      <c r="AQ43" s="10" t="str">
        <f t="shared" si="2"/>
        <v>Szlovénia</v>
      </c>
      <c r="AR43" s="10">
        <f t="shared" si="3"/>
        <v>1</v>
      </c>
      <c r="AS43" s="10" t="str">
        <f t="shared" si="4"/>
        <v>Anglia</v>
      </c>
      <c r="AT43" s="10">
        <f t="shared" si="5"/>
        <v>1</v>
      </c>
      <c r="AU43" s="10" t="str">
        <f t="shared" si="6"/>
        <v>Anglia</v>
      </c>
      <c r="AV43" s="10">
        <f t="shared" si="7"/>
        <v>0</v>
      </c>
      <c r="AW43" s="10" t="str">
        <f t="shared" si="8"/>
        <v>Szlovénia_lose</v>
      </c>
      <c r="AX43" s="10" t="str">
        <f t="shared" si="9"/>
        <v>Anglia_win</v>
      </c>
      <c r="AY43" s="10">
        <f t="shared" si="10"/>
      </c>
      <c r="AZ43" s="10">
        <f t="shared" si="11"/>
      </c>
      <c r="BA43" s="10">
        <f t="shared" si="12"/>
      </c>
      <c r="BB43" s="10">
        <f t="shared" si="13"/>
      </c>
      <c r="BC43" s="10">
        <f t="shared" si="14"/>
      </c>
      <c r="BD43" s="10">
        <f t="shared" si="15"/>
      </c>
      <c r="BE43" s="10">
        <f t="shared" si="16"/>
      </c>
      <c r="BF43" s="10">
        <f t="shared" si="17"/>
      </c>
      <c r="BG43" s="10">
        <f t="shared" si="18"/>
      </c>
      <c r="BH43" s="10">
        <f t="shared" si="19"/>
      </c>
      <c r="BI43" s="10"/>
      <c r="BJ43" s="10"/>
      <c r="BK43" s="10" t="s">
        <v>100</v>
      </c>
      <c r="BL43" s="10">
        <v>37</v>
      </c>
      <c r="BM43" s="10"/>
      <c r="BN43" s="10"/>
      <c r="BO43" s="12"/>
    </row>
    <row r="44" spans="1:67" s="6" customFormat="1" ht="13.5" customHeight="1">
      <c r="A44" s="35">
        <v>39987</v>
      </c>
      <c r="B44" s="36"/>
      <c r="C44" s="43" t="str">
        <f>V22</f>
        <v>USA</v>
      </c>
      <c r="D44" s="38">
        <v>1</v>
      </c>
      <c r="E44" s="38">
        <v>0</v>
      </c>
      <c r="F44" s="39" t="str">
        <f>V23</f>
        <v>Algéria</v>
      </c>
      <c r="J44" s="44" t="str">
        <f>VLOOKUP(2,U42:AB45,2,FALSE)</f>
        <v>Új-Zéleand</v>
      </c>
      <c r="K44" s="45">
        <f>VLOOKUP(2,U42:AB45,3,FALSE)</f>
        <v>0</v>
      </c>
      <c r="L44" s="45">
        <f>VLOOKUP(2,U42:AB45,4,FALSE)</f>
        <v>3</v>
      </c>
      <c r="M44" s="45">
        <f>VLOOKUP(2,U42:AB45,5,FALSE)</f>
        <v>0</v>
      </c>
      <c r="N44" s="45" t="str">
        <f>CONCATENATE(VLOOKUP(2,U42:AB45,6,FALSE)," - ",VLOOKUP(2,U42:AB45,7,FALSE))</f>
        <v>2 - 2</v>
      </c>
      <c r="O44" s="45">
        <f>VLOOKUP(2,U42:AB45,8,FALSE)</f>
        <v>3</v>
      </c>
      <c r="P44" s="46"/>
      <c r="Q44" s="8"/>
      <c r="R44" s="8" t="s">
        <v>101</v>
      </c>
      <c r="S44" s="9">
        <f>5-(IF(T44&gt;T42,1,0)+IF(T44&gt;T43,1,0)+IF(T44&gt;T44,1,0)+IF(T44&gt;T45,1,0)+1)</f>
        <v>3</v>
      </c>
      <c r="T44" s="9">
        <f>IF(VLOOKUP(V44,J42:P45,7,FALSE)="",GMT_MIN,10-VLOOKUP(V44,J42:P45,7,FALSE))*10+U44</f>
        <v>2</v>
      </c>
      <c r="U44" s="9">
        <f>IF(AC44&gt;AC42,1,0)+IF(AC44&gt;AC43,1,0)+IF(AC44&gt;AC44,1,0)+IF(AC44&gt;AC45,1,0)+1</f>
        <v>2</v>
      </c>
      <c r="V44" s="10" t="str">
        <f>R44</f>
        <v>Új-Zéleand</v>
      </c>
      <c r="W44" s="11">
        <f>COUNTIF(AW7:AX54,CONCATENATE(V44,"_win"))</f>
        <v>0</v>
      </c>
      <c r="X44" s="11">
        <f>COUNTIF(AW7:AX54,CONCATENATE(V44,"_draw"))</f>
        <v>3</v>
      </c>
      <c r="Y44" s="11">
        <f>COUNTIF(AW7:AX54,CONCATENATE(V44,"_lose"))</f>
        <v>0</v>
      </c>
      <c r="Z44" s="11">
        <f>SUMIF(AS7:AS54,CONCATENATE("=",V44),AT7:AT54)+SUMIF(AO7:AO54,CONCATENATE("=",V44),AP7:AP54)</f>
        <v>2</v>
      </c>
      <c r="AA44" s="11">
        <f>SUMIF(AU7:AU54,CONCATENATE("=",V44),AV7:AV54)+SUMIF(AQ7:AQ54,CONCATENATE("=",V44),AR7:AR54)</f>
        <v>2</v>
      </c>
      <c r="AB44" s="11">
        <f>W44*3+X44</f>
        <v>3</v>
      </c>
      <c r="AC44" s="11">
        <f>0.2+AL44+Z44*1000+(Z44-AA44)*100000+AB44*10000000</f>
        <v>30002000.2</v>
      </c>
      <c r="AD44" s="10">
        <f>IF(COUNTIF(AB42:AB45,CONCATENATE("=",AB44))=1,0,COUNTIF(AB42:AB45,CONCATENATE("=",AB44)))*AB44</f>
        <v>0</v>
      </c>
      <c r="AE44" s="10"/>
      <c r="AF44" s="11"/>
      <c r="AG44" s="11">
        <f>IF(AB44=AF42,1,0)</f>
        <v>0</v>
      </c>
      <c r="AH44" s="11">
        <f>COUNTIF(AY7:AZ54,CONCATENATE(V44,"_win"))</f>
        <v>0</v>
      </c>
      <c r="AI44" s="11">
        <f>SUMIF(BE7:BE54,CONCATENATE("=",V44),BF7:BF54)+SUMIF(BA7:BA54,CONCATENATE("=",V44),BB7:BB54)</f>
        <v>0</v>
      </c>
      <c r="AJ44" s="11">
        <f>SUMIF(BG7:BG54,CONCATENATE("=",V44),BH7:BH54)+SUMIF(BC7:BC54,CONCATENATE("=",V44),BD7:BD54)</f>
        <v>0</v>
      </c>
      <c r="AK44" s="10">
        <f>300*AH44+(AI44-AJ44)*10+AI44</f>
        <v>0</v>
      </c>
      <c r="AL44" s="10">
        <f>IF(AK44&gt;0,AK44,0)</f>
        <v>0</v>
      </c>
      <c r="AM44" s="10"/>
      <c r="AN44" s="10">
        <f>VLOOKUP(F44,V7:AG59,12,FALSE)+VLOOKUP(C44,V7:AG59,12,FALSE)</f>
        <v>1</v>
      </c>
      <c r="AO44" s="10" t="str">
        <f t="shared" si="0"/>
        <v>USA</v>
      </c>
      <c r="AP44" s="10">
        <f t="shared" si="1"/>
        <v>1</v>
      </c>
      <c r="AQ44" s="10" t="str">
        <f t="shared" si="2"/>
        <v>USA</v>
      </c>
      <c r="AR44" s="10">
        <f t="shared" si="3"/>
        <v>0</v>
      </c>
      <c r="AS44" s="10" t="str">
        <f t="shared" si="4"/>
        <v>Algéria</v>
      </c>
      <c r="AT44" s="10">
        <f t="shared" si="5"/>
        <v>0</v>
      </c>
      <c r="AU44" s="10" t="str">
        <f t="shared" si="6"/>
        <v>Algéria</v>
      </c>
      <c r="AV44" s="10">
        <f t="shared" si="7"/>
        <v>1</v>
      </c>
      <c r="AW44" s="10" t="str">
        <f t="shared" si="8"/>
        <v>USA_win</v>
      </c>
      <c r="AX44" s="10" t="str">
        <f t="shared" si="9"/>
        <v>Algéria_lose</v>
      </c>
      <c r="AY44" s="10">
        <f t="shared" si="10"/>
      </c>
      <c r="AZ44" s="10">
        <f t="shared" si="11"/>
      </c>
      <c r="BA44" s="10">
        <f t="shared" si="12"/>
      </c>
      <c r="BB44" s="10">
        <f t="shared" si="13"/>
        <v>0</v>
      </c>
      <c r="BC44" s="10">
        <f t="shared" si="14"/>
      </c>
      <c r="BD44" s="10">
        <f t="shared" si="15"/>
        <v>0</v>
      </c>
      <c r="BE44" s="10">
        <f t="shared" si="16"/>
      </c>
      <c r="BF44" s="10">
        <f t="shared" si="17"/>
        <v>0</v>
      </c>
      <c r="BG44" s="10">
        <f t="shared" si="18"/>
      </c>
      <c r="BH44" s="10">
        <f t="shared" si="19"/>
        <v>0</v>
      </c>
      <c r="BI44" s="10"/>
      <c r="BJ44" s="10"/>
      <c r="BK44" s="10" t="s">
        <v>102</v>
      </c>
      <c r="BL44" s="10">
        <v>38</v>
      </c>
      <c r="BM44" s="10"/>
      <c r="BN44" s="10"/>
      <c r="BO44" s="12"/>
    </row>
    <row r="45" spans="1:67" s="6" customFormat="1" ht="13.5" customHeight="1">
      <c r="A45" s="35">
        <v>39987</v>
      </c>
      <c r="B45" s="36"/>
      <c r="C45" s="43" t="str">
        <f>V31</f>
        <v>Ghána</v>
      </c>
      <c r="D45" s="38">
        <v>0</v>
      </c>
      <c r="E45" s="38">
        <v>1</v>
      </c>
      <c r="F45" s="39" t="str">
        <f>V28</f>
        <v>Németország</v>
      </c>
      <c r="J45" s="47" t="str">
        <f>VLOOKUP(1,U42:AB45,2,FALSE)</f>
        <v>Olaszország</v>
      </c>
      <c r="K45" s="48">
        <f>VLOOKUP(1,U42:AB45,3,FALSE)</f>
        <v>0</v>
      </c>
      <c r="L45" s="48">
        <f>VLOOKUP(1,U42:AB45,4,FALSE)</f>
        <v>2</v>
      </c>
      <c r="M45" s="48">
        <f>VLOOKUP(1,U42:AB45,5,FALSE)</f>
        <v>1</v>
      </c>
      <c r="N45" s="48" t="str">
        <f>CONCATENATE(VLOOKUP(1,U42:AB45,6,FALSE)," - ",VLOOKUP(1,U42:AB45,7,FALSE))</f>
        <v>4 - 5</v>
      </c>
      <c r="O45" s="48">
        <f>VLOOKUP(1,U42:AB45,8,FALSE)</f>
        <v>2</v>
      </c>
      <c r="P45" s="49"/>
      <c r="Q45" s="8"/>
      <c r="R45" s="8" t="s">
        <v>103</v>
      </c>
      <c r="S45" s="9">
        <f>5-(IF(T45&gt;T42,1,0)+IF(T45&gt;T43,1,0)+IF(T45&gt;T44,1,0)+IF(T45&gt;T45,1,0)+1)</f>
        <v>2</v>
      </c>
      <c r="T45" s="9">
        <f>IF(VLOOKUP(V45,J42:P45,7,FALSE)="",GMT_MIN,10-VLOOKUP(V45,J42:P45,7,FALSE))*10+U45</f>
        <v>3</v>
      </c>
      <c r="U45" s="9">
        <f>IF(AC45&gt;AC42,1,0)+IF(AC45&gt;AC43,1,0)+IF(AC45&gt;AC44,1,0)+IF(AC45&gt;AC45,1,0)+1</f>
        <v>3</v>
      </c>
      <c r="V45" s="10" t="str">
        <f>R45</f>
        <v>Szlovákia</v>
      </c>
      <c r="W45" s="11">
        <f>COUNTIF(AW7:AX54,CONCATENATE(V45,"_win"))</f>
        <v>1</v>
      </c>
      <c r="X45" s="11">
        <f>COUNTIF(AW7:AX54,CONCATENATE(V45,"_draw"))</f>
        <v>1</v>
      </c>
      <c r="Y45" s="11">
        <f>COUNTIF(AW7:AX54,CONCATENATE(V45,"_lose"))</f>
        <v>1</v>
      </c>
      <c r="Z45" s="11">
        <f>SUMIF(AS7:AS54,CONCATENATE("=",V45),AT7:AT54)+SUMIF(AO7:AO54,CONCATENATE("=",V45),AP7:AP54)</f>
        <v>4</v>
      </c>
      <c r="AA45" s="11">
        <f>SUMIF(AU7:AU54,CONCATENATE("=",V45),AV7:AV54)+SUMIF(AQ7:AQ54,CONCATENATE("=",V45),AR7:AR54)</f>
        <v>5</v>
      </c>
      <c r="AB45" s="11">
        <f>W45*3+X45</f>
        <v>4</v>
      </c>
      <c r="AC45" s="11">
        <f>0.1+AL45+Z45*1000+(Z45-AA45)*100000+AB45*10000000</f>
        <v>39904000.1</v>
      </c>
      <c r="AD45" s="10">
        <f>IF(COUNTIF(AB42:AB45,CONCATENATE("=",AB45))=1,0,COUNTIF(AB42:AB45,CONCATENATE("=",AB45)))*AB45</f>
        <v>0</v>
      </c>
      <c r="AE45" s="10"/>
      <c r="AF45" s="11"/>
      <c r="AG45" s="11">
        <f>IF(AB45=AF42,1,0)</f>
        <v>0</v>
      </c>
      <c r="AH45" s="11">
        <f>COUNTIF(AY7:AZ54,CONCATENATE(V45,"_win"))</f>
        <v>0</v>
      </c>
      <c r="AI45" s="11">
        <f>SUMIF(BE7:BE54,CONCATENATE("=",V45),BF7:BF54)+SUMIF(BA7:BA54,CONCATENATE("=",V45),BB7:BB54)</f>
        <v>0</v>
      </c>
      <c r="AJ45" s="11">
        <f>SUMIF(BG7:BG54,CONCATENATE("=",V45),BH7:BH54)+SUMIF(BC7:BC54,CONCATENATE("=",V45),BD7:BD54)</f>
        <v>0</v>
      </c>
      <c r="AK45" s="10">
        <f>300*AH45+(AI45-AJ45)*10+AI45</f>
        <v>0</v>
      </c>
      <c r="AL45" s="10">
        <f>IF(AK45&gt;0,AK45,0)</f>
        <v>0</v>
      </c>
      <c r="AM45" s="10"/>
      <c r="AN45" s="10">
        <f>VLOOKUP(F45,V7:AG59,12,FALSE)+VLOOKUP(C45,V7:AG59,12,FALSE)</f>
        <v>1</v>
      </c>
      <c r="AO45" s="10" t="str">
        <f t="shared" si="0"/>
        <v>Ghána</v>
      </c>
      <c r="AP45" s="10">
        <f t="shared" si="1"/>
        <v>0</v>
      </c>
      <c r="AQ45" s="10" t="str">
        <f t="shared" si="2"/>
        <v>Ghána</v>
      </c>
      <c r="AR45" s="10">
        <f t="shared" si="3"/>
        <v>1</v>
      </c>
      <c r="AS45" s="10" t="str">
        <f t="shared" si="4"/>
        <v>Németország</v>
      </c>
      <c r="AT45" s="10">
        <f t="shared" si="5"/>
        <v>1</v>
      </c>
      <c r="AU45" s="10" t="str">
        <f t="shared" si="6"/>
        <v>Németország</v>
      </c>
      <c r="AV45" s="10">
        <f t="shared" si="7"/>
        <v>0</v>
      </c>
      <c r="AW45" s="10" t="str">
        <f t="shared" si="8"/>
        <v>Ghána_lose</v>
      </c>
      <c r="AX45" s="10" t="str">
        <f t="shared" si="9"/>
        <v>Németország_win</v>
      </c>
      <c r="AY45" s="10">
        <f t="shared" si="10"/>
      </c>
      <c r="AZ45" s="10">
        <f t="shared" si="11"/>
      </c>
      <c r="BA45" s="10">
        <f t="shared" si="12"/>
      </c>
      <c r="BB45" s="10">
        <f t="shared" si="13"/>
        <v>0</v>
      </c>
      <c r="BC45" s="10">
        <f t="shared" si="14"/>
      </c>
      <c r="BD45" s="10">
        <f t="shared" si="15"/>
        <v>0</v>
      </c>
      <c r="BE45" s="10">
        <f t="shared" si="16"/>
      </c>
      <c r="BF45" s="10">
        <f t="shared" si="17"/>
        <v>0</v>
      </c>
      <c r="BG45" s="10">
        <f t="shared" si="18"/>
      </c>
      <c r="BH45" s="10">
        <f t="shared" si="19"/>
        <v>0</v>
      </c>
      <c r="BI45" s="10"/>
      <c r="BJ45" s="10"/>
      <c r="BK45" s="10" t="s">
        <v>104</v>
      </c>
      <c r="BL45" s="10">
        <v>39</v>
      </c>
      <c r="BM45" s="10"/>
      <c r="BN45" s="10"/>
      <c r="BO45" s="12"/>
    </row>
    <row r="46" spans="1:109" ht="13.5" customHeight="1">
      <c r="A46" s="35">
        <v>39987</v>
      </c>
      <c r="B46" s="36"/>
      <c r="C46" s="43" t="str">
        <f>V29</f>
        <v>Ausztrália</v>
      </c>
      <c r="D46" s="38">
        <v>2</v>
      </c>
      <c r="E46" s="38">
        <v>1</v>
      </c>
      <c r="F46" s="39" t="str">
        <f>V30</f>
        <v>Szerbia</v>
      </c>
      <c r="J46" s="50"/>
      <c r="K46" s="51"/>
      <c r="L46" s="51"/>
      <c r="M46" s="51"/>
      <c r="N46" s="51"/>
      <c r="O46" s="51"/>
      <c r="P46" s="51"/>
      <c r="AD46" s="10">
        <f>MAX(AD42:AD45)</f>
        <v>0</v>
      </c>
      <c r="AN46" s="10">
        <f>VLOOKUP(F46,V7:AG59,12,FALSE)+VLOOKUP(C46,V7:AG59,12,FALSE)</f>
        <v>1</v>
      </c>
      <c r="AO46" s="10" t="str">
        <f t="shared" si="0"/>
        <v>Ausztrália</v>
      </c>
      <c r="AP46" s="10">
        <f t="shared" si="1"/>
        <v>2</v>
      </c>
      <c r="AQ46" s="10" t="str">
        <f t="shared" si="2"/>
        <v>Ausztrália</v>
      </c>
      <c r="AR46" s="10">
        <f t="shared" si="3"/>
        <v>1</v>
      </c>
      <c r="AS46" s="10" t="str">
        <f t="shared" si="4"/>
        <v>Szerbia</v>
      </c>
      <c r="AT46" s="10">
        <f t="shared" si="5"/>
        <v>1</v>
      </c>
      <c r="AU46" s="10" t="str">
        <f t="shared" si="6"/>
        <v>Szerbia</v>
      </c>
      <c r="AV46" s="10">
        <f t="shared" si="7"/>
        <v>2</v>
      </c>
      <c r="AW46" s="10" t="str">
        <f t="shared" si="8"/>
        <v>Ausztrália_win</v>
      </c>
      <c r="AX46" s="10" t="str">
        <f t="shared" si="9"/>
        <v>Szerbia_lose</v>
      </c>
      <c r="AY46" s="10">
        <f t="shared" si="10"/>
      </c>
      <c r="AZ46" s="10">
        <f t="shared" si="11"/>
      </c>
      <c r="BA46" s="10">
        <f t="shared" si="12"/>
      </c>
      <c r="BB46" s="10">
        <f t="shared" si="13"/>
        <v>0</v>
      </c>
      <c r="BC46" s="10">
        <f t="shared" si="14"/>
      </c>
      <c r="BD46" s="10">
        <f t="shared" si="15"/>
        <v>0</v>
      </c>
      <c r="BE46" s="10">
        <f t="shared" si="16"/>
      </c>
      <c r="BF46" s="10">
        <f t="shared" si="17"/>
        <v>0</v>
      </c>
      <c r="BG46" s="10">
        <f t="shared" si="18"/>
      </c>
      <c r="BH46" s="10">
        <f t="shared" si="19"/>
        <v>0</v>
      </c>
      <c r="BK46" s="10" t="s">
        <v>105</v>
      </c>
      <c r="BL46" s="10">
        <v>40</v>
      </c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</row>
    <row r="47" spans="1:109" ht="13.5" customHeight="1">
      <c r="A47" s="35">
        <v>39988</v>
      </c>
      <c r="B47" s="36"/>
      <c r="C47" s="43" t="str">
        <f>V36</f>
        <v>Dánia</v>
      </c>
      <c r="D47" s="38">
        <v>1</v>
      </c>
      <c r="E47" s="38">
        <v>3</v>
      </c>
      <c r="F47" s="39" t="str">
        <f>V37</f>
        <v>Japán</v>
      </c>
      <c r="J47" s="30" t="str">
        <f>CONCATENATE(INDEX(T,40,language)," G")</f>
        <v>Group G</v>
      </c>
      <c r="K47" s="31" t="str">
        <f>INDEX(T,35,language)</f>
        <v>W</v>
      </c>
      <c r="L47" s="31" t="str">
        <f>INDEX(T,36,language)</f>
        <v>D</v>
      </c>
      <c r="M47" s="31" t="str">
        <f>INDEX(T,37,language)</f>
        <v>L</v>
      </c>
      <c r="N47" s="31" t="str">
        <f>INDEX(T,38,language)</f>
        <v>F - A</v>
      </c>
      <c r="O47" s="31" t="str">
        <f>INDEX(T,39,language)</f>
        <v>Pnt</v>
      </c>
      <c r="P47" s="32" t="s">
        <v>3</v>
      </c>
      <c r="AN47" s="10">
        <f>VLOOKUP(F47,V7:AG59,12,FALSE)+VLOOKUP(C47,V7:AG59,12,FALSE)</f>
        <v>0</v>
      </c>
      <c r="AO47" s="10" t="str">
        <f t="shared" si="0"/>
        <v>Dánia</v>
      </c>
      <c r="AP47" s="10">
        <f t="shared" si="1"/>
        <v>1</v>
      </c>
      <c r="AQ47" s="10" t="str">
        <f t="shared" si="2"/>
        <v>Dánia</v>
      </c>
      <c r="AR47" s="10">
        <f t="shared" si="3"/>
        <v>3</v>
      </c>
      <c r="AS47" s="10" t="str">
        <f t="shared" si="4"/>
        <v>Japán</v>
      </c>
      <c r="AT47" s="10">
        <f t="shared" si="5"/>
        <v>3</v>
      </c>
      <c r="AU47" s="10" t="str">
        <f t="shared" si="6"/>
        <v>Japán</v>
      </c>
      <c r="AV47" s="10">
        <f t="shared" si="7"/>
        <v>1</v>
      </c>
      <c r="AW47" s="10" t="str">
        <f t="shared" si="8"/>
        <v>Dánia_lose</v>
      </c>
      <c r="AX47" s="10" t="str">
        <f t="shared" si="9"/>
        <v>Japán_win</v>
      </c>
      <c r="AY47" s="10">
        <f t="shared" si="10"/>
      </c>
      <c r="AZ47" s="10">
        <f t="shared" si="11"/>
      </c>
      <c r="BA47" s="10">
        <f t="shared" si="12"/>
      </c>
      <c r="BB47" s="10">
        <f t="shared" si="13"/>
        <v>0</v>
      </c>
      <c r="BC47" s="10">
        <f t="shared" si="14"/>
      </c>
      <c r="BD47" s="10">
        <f t="shared" si="15"/>
        <v>0</v>
      </c>
      <c r="BE47" s="10">
        <f t="shared" si="16"/>
      </c>
      <c r="BF47" s="10">
        <f t="shared" si="17"/>
        <v>0</v>
      </c>
      <c r="BG47" s="10">
        <f t="shared" si="18"/>
      </c>
      <c r="BH47" s="10">
        <f t="shared" si="19"/>
        <v>0</v>
      </c>
      <c r="BK47" s="10" t="s">
        <v>106</v>
      </c>
      <c r="BL47" s="10">
        <v>41</v>
      </c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</row>
    <row r="48" spans="1:109" ht="13.5" customHeight="1">
      <c r="A48" s="35">
        <v>39988</v>
      </c>
      <c r="B48" s="36"/>
      <c r="C48" s="43" t="str">
        <f>V38</f>
        <v>Kamerun</v>
      </c>
      <c r="D48" s="38">
        <v>1</v>
      </c>
      <c r="E48" s="38">
        <v>2</v>
      </c>
      <c r="F48" s="39" t="str">
        <f>V35</f>
        <v>Hollandia</v>
      </c>
      <c r="J48" s="30"/>
      <c r="K48" s="31"/>
      <c r="L48" s="31"/>
      <c r="M48" s="31"/>
      <c r="N48" s="31"/>
      <c r="O48" s="31"/>
      <c r="P48" s="32"/>
      <c r="AN48" s="10">
        <f>VLOOKUP(F48,V7:AG59,12,FALSE)+VLOOKUP(C48,V7:AG59,12,FALSE)</f>
        <v>1</v>
      </c>
      <c r="AO48" s="10" t="str">
        <f t="shared" si="0"/>
        <v>Kamerun</v>
      </c>
      <c r="AP48" s="10">
        <f t="shared" si="1"/>
        <v>1</v>
      </c>
      <c r="AQ48" s="10" t="str">
        <f t="shared" si="2"/>
        <v>Kamerun</v>
      </c>
      <c r="AR48" s="10">
        <f t="shared" si="3"/>
        <v>2</v>
      </c>
      <c r="AS48" s="10" t="str">
        <f t="shared" si="4"/>
        <v>Hollandia</v>
      </c>
      <c r="AT48" s="10">
        <f t="shared" si="5"/>
        <v>2</v>
      </c>
      <c r="AU48" s="10" t="str">
        <f t="shared" si="6"/>
        <v>Hollandia</v>
      </c>
      <c r="AV48" s="10">
        <f t="shared" si="7"/>
        <v>1</v>
      </c>
      <c r="AW48" s="10" t="str">
        <f t="shared" si="8"/>
        <v>Kamerun_lose</v>
      </c>
      <c r="AX48" s="10" t="str">
        <f t="shared" si="9"/>
        <v>Hollandia_win</v>
      </c>
      <c r="AY48" s="10">
        <f t="shared" si="10"/>
      </c>
      <c r="AZ48" s="10">
        <f t="shared" si="11"/>
      </c>
      <c r="BA48" s="10">
        <f t="shared" si="12"/>
      </c>
      <c r="BB48" s="10">
        <f t="shared" si="13"/>
        <v>0</v>
      </c>
      <c r="BC48" s="10">
        <f t="shared" si="14"/>
      </c>
      <c r="BD48" s="10">
        <f t="shared" si="15"/>
        <v>0</v>
      </c>
      <c r="BE48" s="10">
        <f t="shared" si="16"/>
      </c>
      <c r="BF48" s="10">
        <f t="shared" si="17"/>
        <v>0</v>
      </c>
      <c r="BG48" s="10">
        <f t="shared" si="18"/>
      </c>
      <c r="BH48" s="10">
        <f t="shared" si="19"/>
        <v>0</v>
      </c>
      <c r="BK48" s="10" t="s">
        <v>107</v>
      </c>
      <c r="BL48" s="10">
        <v>42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</row>
    <row r="49" spans="1:67" s="6" customFormat="1" ht="13.5" customHeight="1">
      <c r="A49" s="35">
        <v>39988</v>
      </c>
      <c r="B49" s="36"/>
      <c r="C49" s="43" t="str">
        <f>V45</f>
        <v>Szlovákia</v>
      </c>
      <c r="D49" s="38">
        <v>3</v>
      </c>
      <c r="E49" s="38">
        <v>2</v>
      </c>
      <c r="F49" s="39" t="str">
        <f>V42</f>
        <v>Olaszország</v>
      </c>
      <c r="J49" s="40" t="str">
        <f>VLOOKUP(4,U49:AB52,2,FALSE)</f>
        <v>Brazília</v>
      </c>
      <c r="K49" s="41">
        <f>VLOOKUP(4,U49:AB52,3,FALSE)</f>
        <v>2</v>
      </c>
      <c r="L49" s="41">
        <f>VLOOKUP(4,U49:AB52,4,FALSE)</f>
        <v>1</v>
      </c>
      <c r="M49" s="41">
        <f>VLOOKUP(4,U49:AB52,5,FALSE)</f>
        <v>0</v>
      </c>
      <c r="N49" s="41" t="str">
        <f>CONCATENATE(VLOOKUP(4,U49:AB52,6,FALSE)," - ",VLOOKUP(4,U49:AB52,7,FALSE))</f>
        <v>5 - 2</v>
      </c>
      <c r="O49" s="41">
        <f>VLOOKUP(4,U49:AB52,8,FALSE)</f>
        <v>7</v>
      </c>
      <c r="P49" s="42"/>
      <c r="Q49" s="8"/>
      <c r="R49" s="8" t="s">
        <v>108</v>
      </c>
      <c r="S49" s="9">
        <f>5-(IF(T49&gt;T49,1,0)+IF(T49&gt;T50,1,0)+IF(T49&gt;T51,1,0)+IF(T49&gt;T52,1,0)+1)</f>
        <v>3</v>
      </c>
      <c r="T49" s="9">
        <f>IF(VLOOKUP(V49,J49:P52,7,FALSE)="",GMT_MIN,10-VLOOKUP(V49,J49:P52,7,FALSE))*10+U49</f>
        <v>2</v>
      </c>
      <c r="U49" s="9">
        <f>IF(AC49&gt;AC49,1,0)+IF(AC49&gt;AC50,1,0)+IF(AC49&gt;AC51,1,0)+IF(AC49&gt;AC52,1,0)+1</f>
        <v>2</v>
      </c>
      <c r="V49" s="10" t="str">
        <f>R49</f>
        <v>Elefántcsontpart</v>
      </c>
      <c r="W49" s="11">
        <f>COUNTIF(AW7:AX54,CONCATENATE(V49,"_win"))</f>
        <v>1</v>
      </c>
      <c r="X49" s="11">
        <f>COUNTIF(AW7:AX54,CONCATENATE(V49,"_draw"))</f>
        <v>1</v>
      </c>
      <c r="Y49" s="11">
        <f>COUNTIF(AW7:AX54,CONCATENATE(V49,"_lose"))</f>
        <v>1</v>
      </c>
      <c r="Z49" s="11">
        <f>SUMIF(AS7:AS54,CONCATENATE("=",V49),AT7:AT54)+SUMIF(AO7:AO54,CONCATENATE("=",V49),AP7:AP54)</f>
        <v>4</v>
      </c>
      <c r="AA49" s="11">
        <f>SUMIF(AU7:AU54,CONCATENATE("=",V49),AV7:AV54)+SUMIF(AQ7:AQ54,CONCATENATE("=",V49),AR7:AR54)</f>
        <v>3</v>
      </c>
      <c r="AB49" s="11">
        <f>W49*3+X49</f>
        <v>4</v>
      </c>
      <c r="AC49" s="11">
        <f>0.4+AL49+Z49*1000+(Z49-AA49)*100000+AB49*10000000</f>
        <v>40104000.4</v>
      </c>
      <c r="AD49" s="10">
        <f>IF(COUNTIF(AB49:AB52,CONCATENATE("=",AB49))=1,0,COUNTIF(AB49:AB52,CONCATENATE("=",AB49)))*AB49</f>
        <v>0</v>
      </c>
      <c r="AE49" s="10" t="str">
        <f>IF(SUM(W49:Y52)=12,VLOOKUP(1,S49:V52,4,FALSE),INDEX(T,60,language))</f>
        <v>Brazília</v>
      </c>
      <c r="AF49" s="11">
        <f>IF(AD49=AD53,AB49,IF(AD50=AD53,AB50,IF(AD51=AD53,AB51,AB52)))</f>
        <v>4</v>
      </c>
      <c r="AG49" s="11">
        <f>IF(AB49=AF49,1,0)</f>
        <v>1</v>
      </c>
      <c r="AH49" s="11">
        <f>COUNTIF(AY7:AZ54,CONCATENATE(V49,"_win"))</f>
        <v>0</v>
      </c>
      <c r="AI49" s="11">
        <f>SUMIF(BE7:BE54,CONCATENATE("=",V49),BF7:BF54)+SUMIF(BA7:BA54,CONCATENATE("=",V49),BB7:BB54)</f>
        <v>0</v>
      </c>
      <c r="AJ49" s="11">
        <f>SUMIF(BG7:BG54,CONCATENATE("=",V49),BH7:BH54)+SUMIF(BC7:BC54,CONCATENATE("=",V49),BD7:BD54)</f>
        <v>0</v>
      </c>
      <c r="AK49" s="10">
        <f>300*AH49+(AI49-AJ49)*10+AI49</f>
        <v>0</v>
      </c>
      <c r="AL49" s="10">
        <f>IF(AK49&gt;0,AK49,0)</f>
        <v>0</v>
      </c>
      <c r="AM49" s="10"/>
      <c r="AN49" s="10">
        <f>VLOOKUP(F49,V7:AG59,12,FALSE)+VLOOKUP(C49,V7:AG59,12,FALSE)</f>
        <v>1</v>
      </c>
      <c r="AO49" s="10" t="str">
        <f t="shared" si="0"/>
        <v>Szlovákia</v>
      </c>
      <c r="AP49" s="10">
        <f t="shared" si="1"/>
        <v>3</v>
      </c>
      <c r="AQ49" s="10" t="str">
        <f t="shared" si="2"/>
        <v>Szlovákia</v>
      </c>
      <c r="AR49" s="10">
        <f t="shared" si="3"/>
        <v>2</v>
      </c>
      <c r="AS49" s="10" t="str">
        <f t="shared" si="4"/>
        <v>Olaszország</v>
      </c>
      <c r="AT49" s="10">
        <f t="shared" si="5"/>
        <v>2</v>
      </c>
      <c r="AU49" s="10" t="str">
        <f t="shared" si="6"/>
        <v>Olaszország</v>
      </c>
      <c r="AV49" s="10">
        <f t="shared" si="7"/>
        <v>3</v>
      </c>
      <c r="AW49" s="10" t="str">
        <f t="shared" si="8"/>
        <v>Szlovákia_win</v>
      </c>
      <c r="AX49" s="10" t="str">
        <f t="shared" si="9"/>
        <v>Olaszország_lose</v>
      </c>
      <c r="AY49" s="10">
        <f t="shared" si="10"/>
      </c>
      <c r="AZ49" s="10">
        <f t="shared" si="11"/>
      </c>
      <c r="BA49" s="10">
        <f t="shared" si="12"/>
      </c>
      <c r="BB49" s="10">
        <f t="shared" si="13"/>
        <v>0</v>
      </c>
      <c r="BC49" s="10">
        <f t="shared" si="14"/>
      </c>
      <c r="BD49" s="10">
        <f t="shared" si="15"/>
        <v>0</v>
      </c>
      <c r="BE49" s="10">
        <f t="shared" si="16"/>
      </c>
      <c r="BF49" s="10">
        <f t="shared" si="17"/>
        <v>0</v>
      </c>
      <c r="BG49" s="10">
        <f t="shared" si="18"/>
      </c>
      <c r="BH49" s="10">
        <f t="shared" si="19"/>
        <v>0</v>
      </c>
      <c r="BI49" s="10"/>
      <c r="BJ49" s="10"/>
      <c r="BK49" s="10" t="s">
        <v>109</v>
      </c>
      <c r="BL49" s="10">
        <v>43</v>
      </c>
      <c r="BM49" s="10"/>
      <c r="BN49" s="10"/>
      <c r="BO49" s="12"/>
    </row>
    <row r="50" spans="1:67" s="6" customFormat="1" ht="13.5" customHeight="1">
      <c r="A50" s="35">
        <v>39988</v>
      </c>
      <c r="B50" s="36"/>
      <c r="C50" s="43" t="str">
        <f>V43</f>
        <v>Paraguay</v>
      </c>
      <c r="D50" s="38">
        <v>0</v>
      </c>
      <c r="E50" s="38">
        <v>0</v>
      </c>
      <c r="F50" s="39" t="str">
        <f>V44</f>
        <v>Új-Zéleand</v>
      </c>
      <c r="J50" s="44" t="str">
        <f>VLOOKUP(3,U49:AB52,2,FALSE)</f>
        <v>Portugália</v>
      </c>
      <c r="K50" s="45">
        <f>VLOOKUP(3,U49:AB52,3,FALSE)</f>
        <v>1</v>
      </c>
      <c r="L50" s="45">
        <f>VLOOKUP(3,U49:AB52,4,FALSE)</f>
        <v>2</v>
      </c>
      <c r="M50" s="45">
        <f>VLOOKUP(3,U49:AB52,5,FALSE)</f>
        <v>0</v>
      </c>
      <c r="N50" s="45" t="str">
        <f>CONCATENATE(VLOOKUP(3,U49:AB52,6,FALSE)," - ",VLOOKUP(3,U49:AB52,7,FALSE))</f>
        <v>7 - 0</v>
      </c>
      <c r="O50" s="45">
        <f>VLOOKUP(3,U49:AB52,8,FALSE)</f>
        <v>5</v>
      </c>
      <c r="P50" s="46"/>
      <c r="Q50" s="8"/>
      <c r="R50" s="8" t="s">
        <v>110</v>
      </c>
      <c r="S50" s="9">
        <f>5-(IF(T50&gt;T49,1,0)+IF(T50&gt;T50,1,0)+IF(T50&gt;T51,1,0)+IF(T50&gt;T52,1,0)+1)</f>
        <v>2</v>
      </c>
      <c r="T50" s="9">
        <f>IF(VLOOKUP(V50,J49:P52,7,FALSE)="",GMT_MIN,10-VLOOKUP(V50,J49:P52,7,FALSE))*10+U50</f>
        <v>3</v>
      </c>
      <c r="U50" s="9">
        <f>IF(AC50&gt;AC49,1,0)+IF(AC50&gt;AC50,1,0)+IF(AC50&gt;AC51,1,0)+IF(AC50&gt;AC52,1,0)+1</f>
        <v>3</v>
      </c>
      <c r="V50" s="10" t="str">
        <f>R50</f>
        <v>Portugália</v>
      </c>
      <c r="W50" s="11">
        <f>COUNTIF(AW7:AX54,CONCATENATE(V50,"_win"))</f>
        <v>1</v>
      </c>
      <c r="X50" s="11">
        <f>COUNTIF(AW7:AX54,CONCATENATE(V50,"_draw"))</f>
        <v>2</v>
      </c>
      <c r="Y50" s="11">
        <f>COUNTIF(AW7:AX54,CONCATENATE(V50,"_lose"))</f>
        <v>0</v>
      </c>
      <c r="Z50" s="11">
        <f>SUMIF(AS7:AS54,CONCATENATE("=",V50),AT7:AT54)+SUMIF(AO7:AO54,CONCATENATE("=",V50),AP7:AP54)</f>
        <v>7</v>
      </c>
      <c r="AA50" s="11">
        <f>SUMIF(AU7:AU54,CONCATENATE("=",V50),AV7:AV54)+SUMIF(AQ7:AQ54,CONCATENATE("=",V50),AR7:AR54)</f>
        <v>0</v>
      </c>
      <c r="AB50" s="11">
        <f>W50*3+X50</f>
        <v>5</v>
      </c>
      <c r="AC50" s="11">
        <f>0.3+AL50+Z50*1000+(Z50-AA50)*100000+AB50*10000000</f>
        <v>50707000.3</v>
      </c>
      <c r="AD50" s="10">
        <f>IF(COUNTIF(AB49:AB52,CONCATENATE("=",AB50))=1,0,COUNTIF(AB49:AB52,CONCATENATE("=",AB50)))*AB50</f>
        <v>0</v>
      </c>
      <c r="AE50" s="10" t="str">
        <f>IF(SUM(W49:Y52)=12,VLOOKUP(2,S49:V52,4,FALSE),INDEX(T,61,language))</f>
        <v>Portugália</v>
      </c>
      <c r="AF50" s="11"/>
      <c r="AG50" s="11">
        <f>IF(AB50=AF49,1,0)</f>
        <v>0</v>
      </c>
      <c r="AH50" s="11">
        <f>COUNTIF(AY7:AZ54,CONCATENATE(V50,"_win"))</f>
        <v>0</v>
      </c>
      <c r="AI50" s="11">
        <f>SUMIF(BE7:BE54,CONCATENATE("=",V50),BF7:BF54)+SUMIF(BA7:BA54,CONCATENATE("=",V50),BB7:BB54)</f>
        <v>0</v>
      </c>
      <c r="AJ50" s="11">
        <f>SUMIF(BG7:BG54,CONCATENATE("=",V50),BH7:BH54)+SUMIF(BC7:BC54,CONCATENATE("=",V50),BD7:BD54)</f>
        <v>0</v>
      </c>
      <c r="AK50" s="10">
        <f>300*AH50+(AI50-AJ50)*10+AI50</f>
        <v>0</v>
      </c>
      <c r="AL50" s="10">
        <f>IF(AK50&gt;0,AK50,0)</f>
        <v>0</v>
      </c>
      <c r="AM50" s="10"/>
      <c r="AN50" s="10">
        <f>VLOOKUP(F50,V7:AG59,12,FALSE)+VLOOKUP(C50,V7:AG59,12,FALSE)</f>
        <v>0</v>
      </c>
      <c r="AO50" s="10" t="str">
        <f t="shared" si="0"/>
        <v>Paraguay</v>
      </c>
      <c r="AP50" s="10">
        <f t="shared" si="1"/>
        <v>0</v>
      </c>
      <c r="AQ50" s="10" t="str">
        <f t="shared" si="2"/>
        <v>Paraguay</v>
      </c>
      <c r="AR50" s="10">
        <f t="shared" si="3"/>
        <v>0</v>
      </c>
      <c r="AS50" s="10" t="str">
        <f t="shared" si="4"/>
        <v>Új-Zéleand</v>
      </c>
      <c r="AT50" s="10">
        <f t="shared" si="5"/>
        <v>0</v>
      </c>
      <c r="AU50" s="10" t="str">
        <f t="shared" si="6"/>
        <v>Új-Zéleand</v>
      </c>
      <c r="AV50" s="10">
        <f t="shared" si="7"/>
        <v>0</v>
      </c>
      <c r="AW50" s="10" t="str">
        <f t="shared" si="8"/>
        <v>Paraguay_draw</v>
      </c>
      <c r="AX50" s="10" t="str">
        <f t="shared" si="9"/>
        <v>Új-Zéleand_draw</v>
      </c>
      <c r="AY50" s="10">
        <f t="shared" si="10"/>
      </c>
      <c r="AZ50" s="10">
        <f t="shared" si="11"/>
      </c>
      <c r="BA50" s="10">
        <f t="shared" si="12"/>
      </c>
      <c r="BB50" s="10">
        <f t="shared" si="13"/>
        <v>0</v>
      </c>
      <c r="BC50" s="10">
        <f t="shared" si="14"/>
      </c>
      <c r="BD50" s="10">
        <f t="shared" si="15"/>
        <v>0</v>
      </c>
      <c r="BE50" s="10">
        <f t="shared" si="16"/>
      </c>
      <c r="BF50" s="10">
        <f t="shared" si="17"/>
        <v>0</v>
      </c>
      <c r="BG50" s="10">
        <f t="shared" si="18"/>
      </c>
      <c r="BH50" s="10">
        <f t="shared" si="19"/>
        <v>0</v>
      </c>
      <c r="BI50" s="10"/>
      <c r="BJ50" s="10"/>
      <c r="BK50" s="10" t="s">
        <v>111</v>
      </c>
      <c r="BL50" s="10">
        <v>44</v>
      </c>
      <c r="BM50" s="10"/>
      <c r="BN50" s="10"/>
      <c r="BO50" s="12"/>
    </row>
    <row r="51" spans="1:67" s="6" customFormat="1" ht="13.5" customHeight="1">
      <c r="A51" s="35">
        <v>39989</v>
      </c>
      <c r="B51" s="36"/>
      <c r="C51" s="43" t="str">
        <f>V59</f>
        <v>Svájc</v>
      </c>
      <c r="D51" s="38">
        <v>0</v>
      </c>
      <c r="E51" s="38">
        <v>0</v>
      </c>
      <c r="F51" s="39" t="str">
        <f>V56</f>
        <v>Honduras</v>
      </c>
      <c r="J51" s="44" t="str">
        <f>VLOOKUP(2,U49:AB52,2,FALSE)</f>
        <v>Elefántcsontpart</v>
      </c>
      <c r="K51" s="45">
        <f>VLOOKUP(2,U49:AB52,3,FALSE)</f>
        <v>1</v>
      </c>
      <c r="L51" s="45">
        <f>VLOOKUP(2,U49:AB52,4,FALSE)</f>
        <v>1</v>
      </c>
      <c r="M51" s="45">
        <f>VLOOKUP(2,U49:AB52,5,FALSE)</f>
        <v>1</v>
      </c>
      <c r="N51" s="45" t="str">
        <f>CONCATENATE(VLOOKUP(2,U49:AB52,6,FALSE)," - ",VLOOKUP(2,U49:AB52,7,FALSE))</f>
        <v>4 - 3</v>
      </c>
      <c r="O51" s="45">
        <f>VLOOKUP(2,U49:AB52,8,FALSE)</f>
        <v>4</v>
      </c>
      <c r="P51" s="46"/>
      <c r="Q51" s="8"/>
      <c r="R51" s="8" t="s">
        <v>112</v>
      </c>
      <c r="S51" s="9">
        <f>5-(IF(T51&gt;T49,1,0)+IF(T51&gt;T50,1,0)+IF(T51&gt;T51,1,0)+IF(T51&gt;T52,1,0)+1)</f>
        <v>1</v>
      </c>
      <c r="T51" s="9">
        <f>IF(VLOOKUP(V51,J49:P52,7,FALSE)="",GMT_MIN,10-VLOOKUP(V51,J49:P52,7,FALSE))*10+U51</f>
        <v>4</v>
      </c>
      <c r="U51" s="9">
        <f>IF(AC51&gt;AC49,1,0)+IF(AC51&gt;AC50,1,0)+IF(AC51&gt;AC51,1,0)+IF(AC51&gt;AC52,1,0)+1</f>
        <v>4</v>
      </c>
      <c r="V51" s="10" t="str">
        <f>R51</f>
        <v>Brazília</v>
      </c>
      <c r="W51" s="11">
        <f>COUNTIF(AW7:AX54,CONCATENATE(V51,"_win"))</f>
        <v>2</v>
      </c>
      <c r="X51" s="11">
        <f>COUNTIF(AW7:AX54,CONCATENATE(V51,"_draw"))</f>
        <v>1</v>
      </c>
      <c r="Y51" s="11">
        <f>COUNTIF(AW7:AX54,CONCATENATE(V51,"_lose"))</f>
        <v>0</v>
      </c>
      <c r="Z51" s="11">
        <f>SUMIF(AS7:AS54,CONCATENATE("=",V51),AT7:AT54)+SUMIF(AO7:AO54,CONCATENATE("=",V51),AP7:AP54)</f>
        <v>5</v>
      </c>
      <c r="AA51" s="11">
        <f>SUMIF(AU7:AU54,CONCATENATE("=",V51),AV7:AV54)+SUMIF(AQ7:AQ54,CONCATENATE("=",V51),AR7:AR54)</f>
        <v>2</v>
      </c>
      <c r="AB51" s="11">
        <f>W51*3+X51</f>
        <v>7</v>
      </c>
      <c r="AC51" s="11">
        <f>0.2+AL51+Z51*1000+(Z51-AA51)*100000+AB51*10000000</f>
        <v>70305000.2</v>
      </c>
      <c r="AD51" s="10">
        <f>IF(COUNTIF(AB49:AB52,CONCATENATE("=",AB51))=1,0,COUNTIF(AB49:AB52,CONCATENATE("=",AB51)))*AB51</f>
        <v>0</v>
      </c>
      <c r="AE51" s="10"/>
      <c r="AF51" s="11"/>
      <c r="AG51" s="11">
        <f>IF(AB51=AF49,1,0)</f>
        <v>0</v>
      </c>
      <c r="AH51" s="11">
        <f>COUNTIF(AY7:AZ54,CONCATENATE(V51,"_win"))</f>
        <v>0</v>
      </c>
      <c r="AI51" s="11">
        <f>SUMIF(BE7:BE54,CONCATENATE("=",V51),BF7:BF54)+SUMIF(BA7:BA54,CONCATENATE("=",V51),BB7:BB54)</f>
        <v>0</v>
      </c>
      <c r="AJ51" s="11">
        <f>SUMIF(BG7:BG54,CONCATENATE("=",V51),BH7:BH54)+SUMIF(BC7:BC54,CONCATENATE("=",V51),BD7:BD54)</f>
        <v>0</v>
      </c>
      <c r="AK51" s="10">
        <f>300*AH51+(AI51-AJ51)*10+AI51</f>
        <v>0</v>
      </c>
      <c r="AL51" s="10">
        <f>IF(AK51&gt;0,AK51,0)</f>
        <v>0</v>
      </c>
      <c r="AM51" s="10"/>
      <c r="AN51" s="10">
        <f>VLOOKUP(F51,V7:AG59,12,FALSE)+VLOOKUP(C51,V7:AG59,12,FALSE)</f>
        <v>0</v>
      </c>
      <c r="AO51" s="10" t="str">
        <f t="shared" si="0"/>
        <v>Svájc</v>
      </c>
      <c r="AP51" s="10">
        <f t="shared" si="1"/>
        <v>0</v>
      </c>
      <c r="AQ51" s="10" t="str">
        <f t="shared" si="2"/>
        <v>Svájc</v>
      </c>
      <c r="AR51" s="10">
        <f t="shared" si="3"/>
        <v>0</v>
      </c>
      <c r="AS51" s="10" t="str">
        <f t="shared" si="4"/>
        <v>Honduras</v>
      </c>
      <c r="AT51" s="10">
        <f t="shared" si="5"/>
        <v>0</v>
      </c>
      <c r="AU51" s="10" t="str">
        <f t="shared" si="6"/>
        <v>Honduras</v>
      </c>
      <c r="AV51" s="10">
        <f t="shared" si="7"/>
        <v>0</v>
      </c>
      <c r="AW51" s="10" t="str">
        <f t="shared" si="8"/>
        <v>Svájc_draw</v>
      </c>
      <c r="AX51" s="10" t="str">
        <f t="shared" si="9"/>
        <v>Honduras_draw</v>
      </c>
      <c r="AY51" s="10">
        <f t="shared" si="10"/>
      </c>
      <c r="AZ51" s="10">
        <f t="shared" si="11"/>
      </c>
      <c r="BA51" s="10">
        <f t="shared" si="12"/>
      </c>
      <c r="BB51" s="10">
        <f t="shared" si="13"/>
      </c>
      <c r="BC51" s="10">
        <f t="shared" si="14"/>
      </c>
      <c r="BD51" s="10">
        <f t="shared" si="15"/>
      </c>
      <c r="BE51" s="10">
        <f t="shared" si="16"/>
      </c>
      <c r="BF51" s="10">
        <f t="shared" si="17"/>
      </c>
      <c r="BG51" s="10">
        <f t="shared" si="18"/>
      </c>
      <c r="BH51" s="10">
        <f t="shared" si="19"/>
      </c>
      <c r="BI51" s="10"/>
      <c r="BJ51" s="10"/>
      <c r="BK51" s="10"/>
      <c r="BL51" s="10"/>
      <c r="BM51" s="10"/>
      <c r="BN51" s="10"/>
      <c r="BO51" s="12"/>
    </row>
    <row r="52" spans="1:67" s="6" customFormat="1" ht="13.5" customHeight="1">
      <c r="A52" s="35">
        <v>39989</v>
      </c>
      <c r="B52" s="36"/>
      <c r="C52" s="43" t="str">
        <f>V57</f>
        <v>Chile</v>
      </c>
      <c r="D52" s="38">
        <v>1</v>
      </c>
      <c r="E52" s="38">
        <v>2</v>
      </c>
      <c r="F52" s="39" t="str">
        <f>V58</f>
        <v>Spanyolország</v>
      </c>
      <c r="J52" s="47" t="str">
        <f>VLOOKUP(1,U49:AB52,2,FALSE)</f>
        <v>Észak-Korea</v>
      </c>
      <c r="K52" s="48">
        <f>VLOOKUP(1,U49:AB52,3,FALSE)</f>
        <v>0</v>
      </c>
      <c r="L52" s="48">
        <f>VLOOKUP(1,U49:AB52,4,FALSE)</f>
        <v>0</v>
      </c>
      <c r="M52" s="48">
        <f>VLOOKUP(1,U49:AB52,5,FALSE)</f>
        <v>3</v>
      </c>
      <c r="N52" s="48" t="str">
        <f>CONCATENATE(VLOOKUP(1,U49:AB52,6,FALSE)," - ",VLOOKUP(1,U49:AB52,7,FALSE))</f>
        <v>1 - 12</v>
      </c>
      <c r="O52" s="48">
        <f>VLOOKUP(1,U49:AB52,8,FALSE)</f>
        <v>0</v>
      </c>
      <c r="P52" s="49"/>
      <c r="Q52" s="8"/>
      <c r="R52" s="8" t="s">
        <v>113</v>
      </c>
      <c r="S52" s="9">
        <f>5-(IF(T52&gt;T49,1,0)+IF(T52&gt;T50,1,0)+IF(T52&gt;T51,1,0)+IF(T52&gt;T52,1,0)+1)</f>
        <v>4</v>
      </c>
      <c r="T52" s="9">
        <f>IF(VLOOKUP(V52,J49:P52,7,FALSE)="",GMT_MIN,10-VLOOKUP(V52,J49:P52,7,FALSE))*10+U52</f>
        <v>1</v>
      </c>
      <c r="U52" s="9">
        <f>IF(AC52&gt;AC49,1,0)+IF(AC52&gt;AC50,1,0)+IF(AC52&gt;AC51,1,0)+IF(AC52&gt;AC52,1,0)+1</f>
        <v>1</v>
      </c>
      <c r="V52" s="10" t="str">
        <f>R52</f>
        <v>Észak-Korea</v>
      </c>
      <c r="W52" s="11">
        <f>COUNTIF(AW7:AX54,CONCATENATE(V52,"_win"))</f>
        <v>0</v>
      </c>
      <c r="X52" s="11">
        <f>COUNTIF(AW7:AX54,CONCATENATE(V52,"_draw"))</f>
        <v>0</v>
      </c>
      <c r="Y52" s="11">
        <f>COUNTIF(AW7:AX54,CONCATENATE(V52,"_lose"))</f>
        <v>3</v>
      </c>
      <c r="Z52" s="11">
        <f>SUMIF(AS7:AS54,CONCATENATE("=",V52),AT7:AT54)+SUMIF(AO7:AO54,CONCATENATE("=",V52),AP7:AP54)</f>
        <v>1</v>
      </c>
      <c r="AA52" s="11">
        <f>SUMIF(AU7:AU54,CONCATENATE("=",V52),AV7:AV54)+SUMIF(AQ7:AQ54,CONCATENATE("=",V52),AR7:AR54)</f>
        <v>12</v>
      </c>
      <c r="AB52" s="11">
        <f>W52*3+X52</f>
        <v>0</v>
      </c>
      <c r="AC52" s="11">
        <f>0.1+AL52+Z52*1000+(Z52-AA52)*100000+AB52*10000000</f>
        <v>-1098999.9</v>
      </c>
      <c r="AD52" s="10">
        <f>IF(COUNTIF(AB49:AB52,CONCATENATE("=",AB52))=1,0,COUNTIF(AB49:AB52,CONCATENATE("=",AB52)))*AB52</f>
        <v>0</v>
      </c>
      <c r="AE52" s="10"/>
      <c r="AF52" s="11"/>
      <c r="AG52" s="11">
        <f>IF(AB52=AF49,1,0)</f>
        <v>0</v>
      </c>
      <c r="AH52" s="11">
        <f>COUNTIF(AY7:AZ54,CONCATENATE(V52,"_win"))</f>
        <v>0</v>
      </c>
      <c r="AI52" s="11">
        <f>SUMIF(BE7:BE54,CONCATENATE("=",V52),BF7:BF54)+SUMIF(BA7:BA54,CONCATENATE("=",V52),BB7:BB54)</f>
        <v>0</v>
      </c>
      <c r="AJ52" s="11">
        <f>SUMIF(BG7:BG54,CONCATENATE("=",V52),BH7:BH54)+SUMIF(BC7:BC54,CONCATENATE("=",V52),BD7:BD54)</f>
        <v>0</v>
      </c>
      <c r="AK52" s="10">
        <f>300*AH52+(AI52-AJ52)*10+AI52</f>
        <v>0</v>
      </c>
      <c r="AL52" s="10">
        <f>IF(AK52&gt;0,AK52,0)</f>
        <v>0</v>
      </c>
      <c r="AM52" s="10"/>
      <c r="AN52" s="10">
        <f>VLOOKUP(F52,V7:AG59,12,FALSE)+VLOOKUP(C52,V7:AG59,12,FALSE)</f>
        <v>2</v>
      </c>
      <c r="AO52" s="10" t="str">
        <f t="shared" si="0"/>
        <v>Chile</v>
      </c>
      <c r="AP52" s="10">
        <f t="shared" si="1"/>
        <v>1</v>
      </c>
      <c r="AQ52" s="10" t="str">
        <f t="shared" si="2"/>
        <v>Chile</v>
      </c>
      <c r="AR52" s="10">
        <f t="shared" si="3"/>
        <v>2</v>
      </c>
      <c r="AS52" s="10" t="str">
        <f t="shared" si="4"/>
        <v>Spanyolország</v>
      </c>
      <c r="AT52" s="10">
        <f t="shared" si="5"/>
        <v>2</v>
      </c>
      <c r="AU52" s="10" t="str">
        <f t="shared" si="6"/>
        <v>Spanyolország</v>
      </c>
      <c r="AV52" s="10">
        <f t="shared" si="7"/>
        <v>1</v>
      </c>
      <c r="AW52" s="10" t="str">
        <f t="shared" si="8"/>
        <v>Chile_lose</v>
      </c>
      <c r="AX52" s="10" t="str">
        <f t="shared" si="9"/>
        <v>Spanyolország_win</v>
      </c>
      <c r="AY52" s="10" t="str">
        <f t="shared" si="10"/>
        <v>Chile_lose</v>
      </c>
      <c r="AZ52" s="10" t="str">
        <f t="shared" si="11"/>
        <v>Spanyolország_win</v>
      </c>
      <c r="BA52" s="10" t="str">
        <f t="shared" si="12"/>
        <v>Chile</v>
      </c>
      <c r="BB52" s="10">
        <f t="shared" si="13"/>
        <v>1</v>
      </c>
      <c r="BC52" s="10" t="str">
        <f t="shared" si="14"/>
        <v>Chile</v>
      </c>
      <c r="BD52" s="10">
        <f t="shared" si="15"/>
        <v>2</v>
      </c>
      <c r="BE52" s="10" t="str">
        <f t="shared" si="16"/>
        <v>Spanyolország</v>
      </c>
      <c r="BF52" s="10">
        <f t="shared" si="17"/>
        <v>2</v>
      </c>
      <c r="BG52" s="10" t="str">
        <f t="shared" si="18"/>
        <v>Spanyolország</v>
      </c>
      <c r="BH52" s="10">
        <f t="shared" si="19"/>
        <v>1</v>
      </c>
      <c r="BI52" s="10"/>
      <c r="BJ52" s="10"/>
      <c r="BK52" s="10"/>
      <c r="BL52" s="10"/>
      <c r="BM52" s="10"/>
      <c r="BN52" s="10"/>
      <c r="BO52" s="12"/>
    </row>
    <row r="53" spans="1:109" ht="13.5" customHeight="1">
      <c r="A53" s="35">
        <v>39989</v>
      </c>
      <c r="B53" s="36"/>
      <c r="C53" s="43" t="str">
        <f>V52</f>
        <v>Észak-Korea</v>
      </c>
      <c r="D53" s="38">
        <v>0</v>
      </c>
      <c r="E53" s="38">
        <v>3</v>
      </c>
      <c r="F53" s="39" t="str">
        <f>V49</f>
        <v>Elefántcsontpart</v>
      </c>
      <c r="J53" s="50"/>
      <c r="K53" s="51"/>
      <c r="L53" s="51"/>
      <c r="M53" s="51"/>
      <c r="N53" s="51"/>
      <c r="O53" s="51"/>
      <c r="P53" s="51"/>
      <c r="AD53" s="10">
        <f>MAX(AD49:AD52)</f>
        <v>0</v>
      </c>
      <c r="AN53" s="10">
        <f>VLOOKUP(F53,V7:AG59,12,FALSE)+VLOOKUP(C53,V7:AG59,12,FALSE)</f>
        <v>1</v>
      </c>
      <c r="AO53" s="10" t="str">
        <f t="shared" si="0"/>
        <v>Észak-Korea</v>
      </c>
      <c r="AP53" s="10">
        <f t="shared" si="1"/>
        <v>0</v>
      </c>
      <c r="AQ53" s="10" t="str">
        <f t="shared" si="2"/>
        <v>Észak-Korea</v>
      </c>
      <c r="AR53" s="10">
        <f t="shared" si="3"/>
        <v>3</v>
      </c>
      <c r="AS53" s="10" t="str">
        <f t="shared" si="4"/>
        <v>Elefántcsontpart</v>
      </c>
      <c r="AT53" s="10">
        <f t="shared" si="5"/>
        <v>3</v>
      </c>
      <c r="AU53" s="10" t="str">
        <f t="shared" si="6"/>
        <v>Elefántcsontpart</v>
      </c>
      <c r="AV53" s="10">
        <f t="shared" si="7"/>
        <v>0</v>
      </c>
      <c r="AW53" s="10" t="str">
        <f t="shared" si="8"/>
        <v>Észak-Korea_lose</v>
      </c>
      <c r="AX53" s="10" t="str">
        <f t="shared" si="9"/>
        <v>Elefántcsontpart_win</v>
      </c>
      <c r="AY53" s="10">
        <f t="shared" si="10"/>
      </c>
      <c r="AZ53" s="10">
        <f t="shared" si="11"/>
      </c>
      <c r="BA53" s="10">
        <f t="shared" si="12"/>
      </c>
      <c r="BB53" s="10">
        <f t="shared" si="13"/>
      </c>
      <c r="BC53" s="10">
        <f t="shared" si="14"/>
      </c>
      <c r="BD53" s="10">
        <f t="shared" si="15"/>
      </c>
      <c r="BE53" s="10">
        <f t="shared" si="16"/>
      </c>
      <c r="BF53" s="10">
        <f t="shared" si="17"/>
      </c>
      <c r="BG53" s="10">
        <f t="shared" si="18"/>
      </c>
      <c r="BH53" s="10">
        <f t="shared" si="19"/>
      </c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09" ht="13.5" customHeight="1">
      <c r="A54" s="35">
        <v>39989</v>
      </c>
      <c r="B54" s="36"/>
      <c r="C54" s="43" t="str">
        <f>V50</f>
        <v>Portugália</v>
      </c>
      <c r="D54" s="38">
        <v>0</v>
      </c>
      <c r="E54" s="38">
        <v>0</v>
      </c>
      <c r="F54" s="39" t="str">
        <f>V51</f>
        <v>Brazília</v>
      </c>
      <c r="J54" s="52" t="str">
        <f>CONCATENATE(INDEX(T,40,language)," H")</f>
        <v>Group H</v>
      </c>
      <c r="K54" s="53" t="str">
        <f>INDEX(T,35,language)</f>
        <v>W</v>
      </c>
      <c r="L54" s="53" t="str">
        <f>INDEX(T,36,language)</f>
        <v>D</v>
      </c>
      <c r="M54" s="53" t="str">
        <f>INDEX(T,37,language)</f>
        <v>L</v>
      </c>
      <c r="N54" s="53" t="str">
        <f>INDEX(T,38,language)</f>
        <v>F - A</v>
      </c>
      <c r="O54" s="53" t="str">
        <f>INDEX(T,39,language)</f>
        <v>Pnt</v>
      </c>
      <c r="P54" s="54" t="s">
        <v>3</v>
      </c>
      <c r="AN54" s="10">
        <f>VLOOKUP(F54,V7:AG59,12,FALSE)+VLOOKUP(C54,V7:AG59,12,FALSE)</f>
        <v>0</v>
      </c>
      <c r="AO54" s="10" t="str">
        <f t="shared" si="0"/>
        <v>Portugália</v>
      </c>
      <c r="AP54" s="10">
        <f t="shared" si="1"/>
        <v>0</v>
      </c>
      <c r="AQ54" s="10" t="str">
        <f t="shared" si="2"/>
        <v>Portugália</v>
      </c>
      <c r="AR54" s="10">
        <f t="shared" si="3"/>
        <v>0</v>
      </c>
      <c r="AS54" s="10" t="str">
        <f t="shared" si="4"/>
        <v>Brazília</v>
      </c>
      <c r="AT54" s="10">
        <f t="shared" si="5"/>
        <v>0</v>
      </c>
      <c r="AU54" s="10" t="str">
        <f t="shared" si="6"/>
        <v>Brazília</v>
      </c>
      <c r="AV54" s="10">
        <f t="shared" si="7"/>
        <v>0</v>
      </c>
      <c r="AW54" s="10" t="str">
        <f t="shared" si="8"/>
        <v>Portugália_draw</v>
      </c>
      <c r="AX54" s="10" t="str">
        <f t="shared" si="9"/>
        <v>Brazília_draw</v>
      </c>
      <c r="AY54" s="10">
        <f t="shared" si="10"/>
      </c>
      <c r="AZ54" s="10">
        <f t="shared" si="11"/>
      </c>
      <c r="BA54" s="10">
        <f t="shared" si="12"/>
      </c>
      <c r="BB54" s="10">
        <f t="shared" si="13"/>
      </c>
      <c r="BC54" s="10">
        <f t="shared" si="14"/>
      </c>
      <c r="BD54" s="10">
        <f t="shared" si="15"/>
      </c>
      <c r="BE54" s="10">
        <f t="shared" si="16"/>
      </c>
      <c r="BF54" s="10">
        <f t="shared" si="17"/>
      </c>
      <c r="BG54" s="10">
        <f t="shared" si="18"/>
      </c>
      <c r="BH54" s="10">
        <f t="shared" si="19"/>
      </c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09" ht="13.5" customHeight="1">
      <c r="A55" s="58"/>
      <c r="B55" s="59"/>
      <c r="C55" s="60"/>
      <c r="D55" s="61"/>
      <c r="E55" s="61"/>
      <c r="F55" s="62"/>
      <c r="J55" s="52"/>
      <c r="K55" s="53"/>
      <c r="L55" s="53"/>
      <c r="M55" s="53"/>
      <c r="N55" s="53"/>
      <c r="O55" s="53"/>
      <c r="P55" s="54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</row>
    <row r="56" spans="1:109" ht="13.5" customHeight="1">
      <c r="A56" s="29" t="str">
        <f>INDEX(T,42,language)</f>
        <v>Second Round</v>
      </c>
      <c r="B56" s="29"/>
      <c r="C56" s="29"/>
      <c r="D56" s="29"/>
      <c r="E56" s="29"/>
      <c r="F56" s="29"/>
      <c r="G56" s="29"/>
      <c r="H56" s="29"/>
      <c r="J56" s="40" t="str">
        <f>VLOOKUP(4,U56:AB59,2,FALSE)</f>
        <v>Spanyolország</v>
      </c>
      <c r="K56" s="41">
        <f>VLOOKUP(4,U56:AB59,3,FALSE)</f>
        <v>2</v>
      </c>
      <c r="L56" s="41">
        <f>VLOOKUP(4,U56:AB59,4,FALSE)</f>
        <v>0</v>
      </c>
      <c r="M56" s="41">
        <f>VLOOKUP(4,U56:AB59,5,FALSE)</f>
        <v>1</v>
      </c>
      <c r="N56" s="41" t="str">
        <f>CONCATENATE(VLOOKUP(4,U56:AB59,6,FALSE)," - ",VLOOKUP(4,U56:AB59,7,FALSE))</f>
        <v>4 - 2</v>
      </c>
      <c r="O56" s="41">
        <f>VLOOKUP(4,U56:AB59,8,FALSE)</f>
        <v>6</v>
      </c>
      <c r="P56" s="42"/>
      <c r="R56" s="8" t="s">
        <v>114</v>
      </c>
      <c r="S56" s="9">
        <f>5-(IF(T56&gt;T56,1,0)+IF(T56&gt;T57,1,0)+IF(T56&gt;T58,1,0)+IF(T56&gt;T59,1,0)+1)</f>
        <v>4</v>
      </c>
      <c r="T56" s="9">
        <f>IF(VLOOKUP(V56,J56:P59,7,FALSE)="",GMT_MIN,10-VLOOKUP(V56,J56:P59,7,FALSE))*10+U56</f>
        <v>1</v>
      </c>
      <c r="U56" s="9">
        <f>IF(AC56&gt;AC56,1,0)+IF(AC56&gt;AC57,1,0)+IF(AC56&gt;AC58,1,0)+IF(AC56&gt;AC59,1,0)+1</f>
        <v>1</v>
      </c>
      <c r="V56" s="10" t="str">
        <f>R56</f>
        <v>Honduras</v>
      </c>
      <c r="W56" s="11">
        <f>COUNTIF(AW7:AX54,CONCATENATE(V56,"_win"))</f>
        <v>0</v>
      </c>
      <c r="X56" s="11">
        <f>COUNTIF(AW7:AX54,CONCATENATE(V56,"_draw"))</f>
        <v>1</v>
      </c>
      <c r="Y56" s="11">
        <f>COUNTIF(AW7:AX54,CONCATENATE(V56,"_lose"))</f>
        <v>2</v>
      </c>
      <c r="Z56" s="11">
        <f>SUMIF(AS7:AS54,CONCATENATE("=",V56),AT7:AT54)+SUMIF(AO7:AO54,CONCATENATE("=",V56),AP7:AP54)</f>
        <v>0</v>
      </c>
      <c r="AA56" s="11">
        <f>SUMIF(AU7:AU54,CONCATENATE("=",V56),AV7:AV54)+SUMIF(AQ7:AQ54,CONCATENATE("=",V56),AR7:AR54)</f>
        <v>3</v>
      </c>
      <c r="AB56" s="11">
        <f>W56*3+X56</f>
        <v>1</v>
      </c>
      <c r="AC56" s="11">
        <f>0.4+AL56+Z56*1000+(Z56-AA56)*100000+AB56*10000000</f>
        <v>9700000.4</v>
      </c>
      <c r="AD56" s="10">
        <f>IF(COUNTIF(AB56:AB59,CONCATENATE("=",AB56))=1,0,COUNTIF(AB56:AB59,CONCATENATE("=",AB56)))*AB56</f>
        <v>0</v>
      </c>
      <c r="AE56" s="10" t="str">
        <f>IF(SUM(W56:Y59)=12,VLOOKUP(1,S56:V59,4,FALSE),INDEX(T,62,language))</f>
        <v>Spanyolország</v>
      </c>
      <c r="AF56" s="11">
        <f>IF(AD56=AD60,AB56,IF(AD57=AD60,AB57,IF(AD58=AD60,AB58,AB59)))</f>
        <v>6</v>
      </c>
      <c r="AG56" s="11">
        <f>IF(AB56=AF56,1,0)</f>
        <v>0</v>
      </c>
      <c r="AH56" s="11">
        <f>COUNTIF(AY7:AZ54,CONCATENATE(V56,"_win"))</f>
        <v>0</v>
      </c>
      <c r="AI56" s="11">
        <f>SUMIF(BE7:BE54,CONCATENATE("=",V56),BF7:BF54)+SUMIF(BA7:BA54,CONCATENATE("=",V56),BB7:BB54)</f>
        <v>0</v>
      </c>
      <c r="AJ56" s="11">
        <f>SUMIF(BG7:BG54,CONCATENATE("=",V56),BH7:BH54)+SUMIF(BC7:BC54,CONCATENATE("=",V56),BD7:BD54)</f>
        <v>0</v>
      </c>
      <c r="AK56" s="10">
        <f>300*AH56+(AI56-AJ56)*10+AI56</f>
        <v>0</v>
      </c>
      <c r="AL56" s="10">
        <f>IF(AK56&gt;0,AK56,0)</f>
        <v>0</v>
      </c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</row>
    <row r="57" spans="1:109" ht="13.5" customHeight="1">
      <c r="A57" s="29"/>
      <c r="B57" s="29"/>
      <c r="C57" s="29"/>
      <c r="D57" s="29"/>
      <c r="E57" s="29"/>
      <c r="F57" s="29"/>
      <c r="G57" s="29"/>
      <c r="H57" s="29"/>
      <c r="J57" s="44" t="str">
        <f>VLOOKUP(3,U56:AB59,2,FALSE)</f>
        <v>Chile</v>
      </c>
      <c r="K57" s="45">
        <f>VLOOKUP(3,U56:AB59,3,FALSE)</f>
        <v>2</v>
      </c>
      <c r="L57" s="45">
        <f>VLOOKUP(3,U56:AB59,4,FALSE)</f>
        <v>0</v>
      </c>
      <c r="M57" s="45">
        <f>VLOOKUP(3,U56:AB59,5,FALSE)</f>
        <v>1</v>
      </c>
      <c r="N57" s="45" t="str">
        <f>CONCATENATE(VLOOKUP(3,U56:AB59,6,FALSE)," - ",VLOOKUP(3,U56:AB59,7,FALSE))</f>
        <v>3 - 2</v>
      </c>
      <c r="O57" s="45">
        <f>VLOOKUP(3,U56:AB59,8,FALSE)</f>
        <v>6</v>
      </c>
      <c r="P57" s="46"/>
      <c r="R57" s="8" t="s">
        <v>115</v>
      </c>
      <c r="S57" s="9">
        <f>5-(IF(T57&gt;T56,1,0)+IF(T57&gt;T57,1,0)+IF(T57&gt;T58,1,0)+IF(T57&gt;T59,1,0)+1)</f>
        <v>2</v>
      </c>
      <c r="T57" s="9">
        <f>IF(VLOOKUP(V57,J56:P59,7,FALSE)="",GMT_MIN,10-VLOOKUP(V57,J56:P59,7,FALSE))*10+U57</f>
        <v>3</v>
      </c>
      <c r="U57" s="9">
        <f>IF(AC57&gt;AC56,1,0)+IF(AC57&gt;AC57,1,0)+IF(AC57&gt;AC58,1,0)+IF(AC57&gt;AC59,1,0)+1</f>
        <v>3</v>
      </c>
      <c r="V57" s="10" t="str">
        <f>R57</f>
        <v>Chile</v>
      </c>
      <c r="W57" s="11">
        <f>COUNTIF(AW7:AX54,CONCATENATE(V57,"_win"))</f>
        <v>2</v>
      </c>
      <c r="X57" s="11">
        <f>COUNTIF(AW7:AX54,CONCATENATE(V57,"_draw"))</f>
        <v>0</v>
      </c>
      <c r="Y57" s="11">
        <f>COUNTIF(AW7:AX54,CONCATENATE(V57,"_lose"))</f>
        <v>1</v>
      </c>
      <c r="Z57" s="11">
        <f>SUMIF(AS7:AS54,CONCATENATE("=",V57),AT7:AT54)+SUMIF(AO7:AO54,CONCATENATE("=",V57),AP7:AP54)</f>
        <v>3</v>
      </c>
      <c r="AA57" s="11">
        <f>SUMIF(AU7:AU54,CONCATENATE("=",V57),AV7:AV54)+SUMIF(AQ7:AQ54,CONCATENATE("=",V57),AR7:AR54)</f>
        <v>2</v>
      </c>
      <c r="AB57" s="11">
        <f>W57*3+X57</f>
        <v>6</v>
      </c>
      <c r="AC57" s="11">
        <f>0.3+AL57+Z57*1000+(Z57-AA57)*100000+AB57*10000000</f>
        <v>60103000.3</v>
      </c>
      <c r="AD57" s="10">
        <f>IF(COUNTIF(AB56:AB59,CONCATENATE("=",AB57))=1,0,COUNTIF(AB56:AB59,CONCATENATE("=",AB57)))*AB57</f>
        <v>12</v>
      </c>
      <c r="AE57" s="10" t="str">
        <f>IF(SUM(W56:Y59)=12,VLOOKUP(2,S56:V59,4,FALSE),INDEX(T,63,language))</f>
        <v>Chile</v>
      </c>
      <c r="AG57" s="11">
        <f>IF(AB57=AF56,1,0)</f>
        <v>1</v>
      </c>
      <c r="AH57" s="11">
        <f>COUNTIF(AY7:AZ54,CONCATENATE(V57,"_win"))</f>
        <v>0</v>
      </c>
      <c r="AI57" s="11">
        <f>SUMIF(BE7:BE54,CONCATENATE("=",V57),BF7:BF54)+SUMIF(BA7:BA54,CONCATENATE("=",V57),BB7:BB54)</f>
        <v>1</v>
      </c>
      <c r="AJ57" s="11">
        <f>SUMIF(BG7:BG54,CONCATENATE("=",V57),BH7:BH54)+SUMIF(BC7:BC54,CONCATENATE("=",V57),BD7:BD54)</f>
        <v>2</v>
      </c>
      <c r="AK57" s="10">
        <f>300*AH57+(AI57-AJ57)*10+AI57</f>
        <v>-9</v>
      </c>
      <c r="AL57" s="10">
        <f>IF(AK57&gt;0,AK57,0)</f>
        <v>0</v>
      </c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</row>
    <row r="58" spans="1:109" ht="13.5" customHeight="1">
      <c r="A58" s="63">
        <v>39990</v>
      </c>
      <c r="B58" s="36"/>
      <c r="C58" s="64" t="str">
        <f>AE7</f>
        <v>Uruguay</v>
      </c>
      <c r="D58" s="65"/>
      <c r="E58" s="65"/>
      <c r="F58" s="66" t="str">
        <f>AE15</f>
        <v>Koreai Köztársaság</v>
      </c>
      <c r="G58" s="65"/>
      <c r="H58" s="65"/>
      <c r="J58" s="44" t="str">
        <f>VLOOKUP(2,U56:AB59,2,FALSE)</f>
        <v>Svájc</v>
      </c>
      <c r="K58" s="45">
        <f>VLOOKUP(2,U56:AB59,3,FALSE)</f>
        <v>1</v>
      </c>
      <c r="L58" s="45">
        <f>VLOOKUP(2,U56:AB59,4,FALSE)</f>
        <v>1</v>
      </c>
      <c r="M58" s="45">
        <f>VLOOKUP(2,U56:AB59,5,FALSE)</f>
        <v>1</v>
      </c>
      <c r="N58" s="45" t="str">
        <f>CONCATENATE(VLOOKUP(2,U56:AB59,6,FALSE)," - ",VLOOKUP(2,U56:AB59,7,FALSE))</f>
        <v>1 - 1</v>
      </c>
      <c r="O58" s="45">
        <f>VLOOKUP(2,U56:AB59,8,FALSE)</f>
        <v>4</v>
      </c>
      <c r="P58" s="46"/>
      <c r="R58" s="8" t="s">
        <v>116</v>
      </c>
      <c r="S58" s="9">
        <f>5-(IF(T58&gt;T56,1,0)+IF(T58&gt;T57,1,0)+IF(T58&gt;T58,1,0)+IF(T58&gt;T59,1,0)+1)</f>
        <v>1</v>
      </c>
      <c r="T58" s="9">
        <f>IF(VLOOKUP(V58,J56:P59,7,FALSE)="",GMT_MIN,10-VLOOKUP(V58,J56:P59,7,FALSE))*10+U58</f>
        <v>4</v>
      </c>
      <c r="U58" s="9">
        <f>IF(AC58&gt;AC56,1,0)+IF(AC58&gt;AC57,1,0)+IF(AC58&gt;AC58,1,0)+IF(AC58&gt;AC59,1,0)+1</f>
        <v>4</v>
      </c>
      <c r="V58" s="10" t="str">
        <f>R58</f>
        <v>Spanyolország</v>
      </c>
      <c r="W58" s="11">
        <f>COUNTIF(AW7:AX54,CONCATENATE(V58,"_win"))</f>
        <v>2</v>
      </c>
      <c r="X58" s="11">
        <f>COUNTIF(AW7:AX54,CONCATENATE(V58,"_draw"))</f>
        <v>0</v>
      </c>
      <c r="Y58" s="11">
        <f>COUNTIF(AW7:AX54,CONCATENATE(V58,"_lose"))</f>
        <v>1</v>
      </c>
      <c r="Z58" s="11">
        <f>SUMIF(AS7:AS54,CONCATENATE("=",V58),AT7:AT54)+SUMIF(AO7:AO54,CONCATENATE("=",V58),AP7:AP54)</f>
        <v>4</v>
      </c>
      <c r="AA58" s="11">
        <f>SUMIF(AU7:AU54,CONCATENATE("=",V58),AV7:AV54)+SUMIF(AQ7:AQ54,CONCATENATE("=",V58),AR7:AR54)</f>
        <v>2</v>
      </c>
      <c r="AB58" s="11">
        <f>W58*3+X58</f>
        <v>6</v>
      </c>
      <c r="AC58" s="11">
        <f>0.2+AL58+Z58*1000+(Z58-AA58)*100000+AB58*10000000</f>
        <v>60204312.2</v>
      </c>
      <c r="AD58" s="10">
        <f>IF(COUNTIF(AB56:AB59,CONCATENATE("=",AB58))=1,0,COUNTIF(AB56:AB59,CONCATENATE("=",AB58)))*AB58</f>
        <v>12</v>
      </c>
      <c r="AG58" s="11">
        <f>IF(AB58=AF56,1,0)</f>
        <v>1</v>
      </c>
      <c r="AH58" s="11">
        <f>COUNTIF(AY7:AZ54,CONCATENATE(V58,"_win"))</f>
        <v>1</v>
      </c>
      <c r="AI58" s="11">
        <f>SUMIF(BE7:BE54,CONCATENATE("=",V58),BF7:BF54)+SUMIF(BA7:BA54,CONCATENATE("=",V58),BB7:BB54)</f>
        <v>2</v>
      </c>
      <c r="AJ58" s="11">
        <f>SUMIF(BG7:BG54,CONCATENATE("=",V58),BH7:BH54)+SUMIF(BC7:BC54,CONCATENATE("=",V58),BD7:BD54)</f>
        <v>1</v>
      </c>
      <c r="AK58" s="10">
        <f>300*AH58+(AI58-AJ58)*10+AI58</f>
        <v>312</v>
      </c>
      <c r="AL58" s="10">
        <f>IF(AK58&gt;0,AK58,0)</f>
        <v>312</v>
      </c>
      <c r="AO58" s="10" t="str">
        <f>IF(AP58="",INDEX(T,64,language),AP58)</f>
        <v>Second Round 1 Winner</v>
      </c>
      <c r="AP58" s="10">
        <f aca="true" t="shared" si="20" ref="AP58:AP65">IF(D58="","",IF(E58="","",IF(D58&gt;E58,C58,IF(D58&lt;E58,F58,AQ58))))</f>
      </c>
      <c r="AQ58" s="10">
        <f>IF(G58="","",IF(H58="","",IF(G58&gt;H58,C58,IF(G58&lt;H58,F58,""))))</f>
        <v>0</v>
      </c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</row>
    <row r="59" spans="1:109" ht="13.5" customHeight="1">
      <c r="A59" s="63">
        <v>39990</v>
      </c>
      <c r="B59" s="36"/>
      <c r="C59" s="64" t="str">
        <f>AE21</f>
        <v>USA</v>
      </c>
      <c r="D59" s="65"/>
      <c r="E59" s="65"/>
      <c r="F59" s="66" t="str">
        <f>AE29</f>
        <v>Ghána</v>
      </c>
      <c r="G59" s="65"/>
      <c r="H59" s="65"/>
      <c r="J59" s="47" t="str">
        <f>VLOOKUP(1,U56:AB59,2,FALSE)</f>
        <v>Honduras</v>
      </c>
      <c r="K59" s="48">
        <f>VLOOKUP(1,U56:AB59,3,FALSE)</f>
        <v>0</v>
      </c>
      <c r="L59" s="48">
        <f>VLOOKUP(1,U56:AB59,4,FALSE)</f>
        <v>1</v>
      </c>
      <c r="M59" s="48">
        <f>VLOOKUP(1,U56:AB59,5,FALSE)</f>
        <v>2</v>
      </c>
      <c r="N59" s="48" t="str">
        <f>CONCATENATE(VLOOKUP(1,U56:AB59,6,FALSE)," - ",VLOOKUP(1,U56:AB59,7,FALSE))</f>
        <v>0 - 3</v>
      </c>
      <c r="O59" s="48">
        <f>VLOOKUP(1,U56:AB59,8,FALSE)</f>
        <v>1</v>
      </c>
      <c r="P59" s="49"/>
      <c r="R59" s="8" t="s">
        <v>117</v>
      </c>
      <c r="S59" s="9">
        <f>5-(IF(T59&gt;T56,1,0)+IF(T59&gt;T57,1,0)+IF(T59&gt;T58,1,0)+IF(T59&gt;T59,1,0)+1)</f>
        <v>3</v>
      </c>
      <c r="T59" s="9">
        <f>IF(VLOOKUP(V59,J56:P59,7,FALSE)="",GMT_MIN,10-VLOOKUP(V59,J56:P59,7,FALSE))*10+U59</f>
        <v>2</v>
      </c>
      <c r="U59" s="9">
        <f>IF(AC59&gt;AC56,1,0)+IF(AC59&gt;AC57,1,0)+IF(AC59&gt;AC58,1,0)+IF(AC59&gt;AC59,1,0)+1</f>
        <v>2</v>
      </c>
      <c r="V59" s="10" t="str">
        <f>R59</f>
        <v>Svájc</v>
      </c>
      <c r="W59" s="11">
        <f>COUNTIF(AW7:AX54,CONCATENATE(V59,"_win"))</f>
        <v>1</v>
      </c>
      <c r="X59" s="11">
        <f>COUNTIF(AW7:AX54,CONCATENATE(V59,"_draw"))</f>
        <v>1</v>
      </c>
      <c r="Y59" s="11">
        <f>COUNTIF(AW7:AX54,CONCATENATE(V59,"_lose"))</f>
        <v>1</v>
      </c>
      <c r="Z59" s="11">
        <f>SUMIF(AS7:AS54,CONCATENATE("=",V59),AT7:AT54)+SUMIF(AO7:AO54,CONCATENATE("=",V59),AP7:AP54)</f>
        <v>1</v>
      </c>
      <c r="AA59" s="11">
        <f>SUMIF(AU7:AU54,CONCATENATE("=",V59),AV7:AV54)+SUMIF(AQ7:AQ54,CONCATENATE("=",V59),AR7:AR54)</f>
        <v>1</v>
      </c>
      <c r="AB59" s="11">
        <f>W59*3+X59</f>
        <v>4</v>
      </c>
      <c r="AC59" s="11">
        <f>0.1+AL59+Z59*1000+(Z59-AA59)*100000+AB59*10000000</f>
        <v>40001000.1</v>
      </c>
      <c r="AD59" s="10">
        <f>IF(COUNTIF(AB56:AB59,CONCATENATE("=",AB59))=1,0,COUNTIF(AB56:AB59,CONCATENATE("=",AB59)))*AB59</f>
        <v>0</v>
      </c>
      <c r="AG59" s="11">
        <f>IF(AB59=AF56,1,0)</f>
        <v>0</v>
      </c>
      <c r="AH59" s="11">
        <f>COUNTIF(AY7:AZ54,CONCATENATE(V59,"_win"))</f>
        <v>0</v>
      </c>
      <c r="AI59" s="11">
        <f>SUMIF(BE7:BE54,CONCATENATE("=",V59),BF7:BF54)+SUMIF(BA7:BA54,CONCATENATE("=",V59),BB7:BB54)</f>
        <v>0</v>
      </c>
      <c r="AJ59" s="11">
        <f>SUMIF(BG7:BG54,CONCATENATE("=",V59),BH7:BH54)+SUMIF(BC7:BC54,CONCATENATE("=",V59),BD7:BD54)</f>
        <v>0</v>
      </c>
      <c r="AK59" s="10">
        <f>300*AH59+(AI59-AJ59)*10+AI59</f>
        <v>0</v>
      </c>
      <c r="AL59" s="10">
        <f>IF(AK59&gt;0,AK59,0)</f>
        <v>0</v>
      </c>
      <c r="AO59" s="10" t="str">
        <f>IF(AP59="",INDEX(T,65,language),AP59)</f>
        <v>Second Round 2 Winner</v>
      </c>
      <c r="AP59" s="10">
        <f t="shared" si="20"/>
      </c>
      <c r="AQ59" s="10">
        <f aca="true" t="shared" si="21" ref="AQ59:AQ65">IF(G59="","",IF(H59="","",IF(G59&gt;H59,C59,IF(G59&lt;H59,F59,""))))</f>
        <v>0</v>
      </c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</row>
    <row r="60" spans="1:109" ht="13.5" customHeight="1">
      <c r="A60" s="63">
        <v>39991</v>
      </c>
      <c r="B60" s="36"/>
      <c r="C60" s="64" t="str">
        <f>AE14</f>
        <v>Argentina</v>
      </c>
      <c r="D60" s="65"/>
      <c r="E60" s="65"/>
      <c r="F60" s="66" t="str">
        <f>AE8</f>
        <v>Mexikó</v>
      </c>
      <c r="G60" s="65"/>
      <c r="H60" s="65"/>
      <c r="AD60" s="10">
        <f>MAX(AD56:AD59)</f>
        <v>12</v>
      </c>
      <c r="AO60" s="10" t="str">
        <f>IF(AP60="",INDEX(T,66,language),AP60)</f>
        <v>Second Round 3 Winner</v>
      </c>
      <c r="AP60" s="10">
        <f t="shared" si="20"/>
      </c>
      <c r="AQ60" s="10">
        <f t="shared" si="21"/>
        <v>0</v>
      </c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</row>
    <row r="61" spans="1:109" ht="13.5" customHeight="1">
      <c r="A61" s="63">
        <v>39991</v>
      </c>
      <c r="B61" s="36"/>
      <c r="C61" s="64" t="str">
        <f>AE28</f>
        <v>Németország</v>
      </c>
      <c r="D61" s="65"/>
      <c r="E61" s="65"/>
      <c r="F61" s="66" t="str">
        <f>AE22</f>
        <v>Anglia</v>
      </c>
      <c r="G61" s="65"/>
      <c r="H61" s="65"/>
      <c r="AO61" s="10" t="str">
        <f>IF(AP61="",INDEX(T,67,language),AP61)</f>
        <v>Second Round 4 Winner</v>
      </c>
      <c r="AP61" s="10">
        <f t="shared" si="20"/>
      </c>
      <c r="AQ61" s="10">
        <f t="shared" si="21"/>
        <v>0</v>
      </c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</row>
    <row r="62" spans="1:109" ht="13.5" customHeight="1">
      <c r="A62" s="63">
        <v>39992</v>
      </c>
      <c r="B62" s="36"/>
      <c r="C62" s="64" t="str">
        <f>AE35</f>
        <v>Hollandia</v>
      </c>
      <c r="D62" s="65"/>
      <c r="E62" s="65"/>
      <c r="F62" s="66" t="str">
        <f>AE43</f>
        <v>Szlovákia</v>
      </c>
      <c r="G62" s="65"/>
      <c r="H62" s="65"/>
      <c r="AO62" s="10" t="str">
        <f>IF(AP62="",INDEX(T,68,language),AP62)</f>
        <v>Second Round 5 Winner</v>
      </c>
      <c r="AP62" s="10">
        <f t="shared" si="20"/>
      </c>
      <c r="AQ62" s="10">
        <f t="shared" si="21"/>
        <v>0</v>
      </c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</row>
    <row r="63" spans="1:109" ht="13.5" customHeight="1">
      <c r="A63" s="63">
        <v>39992</v>
      </c>
      <c r="B63" s="36"/>
      <c r="C63" s="64" t="str">
        <f>AE49</f>
        <v>Brazília</v>
      </c>
      <c r="D63" s="65"/>
      <c r="E63" s="65"/>
      <c r="F63" s="66" t="str">
        <f>AE57</f>
        <v>Chile</v>
      </c>
      <c r="G63" s="65"/>
      <c r="H63" s="65"/>
      <c r="AO63" s="10" t="str">
        <f>IF(AP63="",INDEX(T,69,language),AP63)</f>
        <v>Second Round 6 Winner</v>
      </c>
      <c r="AP63" s="10">
        <f t="shared" si="20"/>
      </c>
      <c r="AQ63" s="10">
        <f t="shared" si="21"/>
        <v>0</v>
      </c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</row>
    <row r="64" spans="1:109" ht="13.5" customHeight="1">
      <c r="A64" s="63">
        <v>39993</v>
      </c>
      <c r="B64" s="36"/>
      <c r="C64" s="64" t="str">
        <f>AE42</f>
        <v>Paraguay</v>
      </c>
      <c r="D64" s="65"/>
      <c r="E64" s="65"/>
      <c r="F64" s="66" t="str">
        <f>AE36</f>
        <v>Japán</v>
      </c>
      <c r="G64" s="65"/>
      <c r="H64" s="65"/>
      <c r="AO64" s="10" t="str">
        <f>IF(AP64="",INDEX(T,70,language),AP64)</f>
        <v>Second Round 7 Winner</v>
      </c>
      <c r="AP64" s="10">
        <f t="shared" si="20"/>
      </c>
      <c r="AQ64" s="10">
        <f t="shared" si="21"/>
        <v>0</v>
      </c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</row>
    <row r="65" spans="1:109" ht="13.5" customHeight="1">
      <c r="A65" s="63">
        <v>39993</v>
      </c>
      <c r="B65" s="36"/>
      <c r="C65" s="64" t="str">
        <f>AE56</f>
        <v>Spanyolország</v>
      </c>
      <c r="D65" s="65"/>
      <c r="E65" s="65"/>
      <c r="F65" s="66" t="str">
        <f>AE50</f>
        <v>Portugália</v>
      </c>
      <c r="G65" s="65"/>
      <c r="H65" s="65"/>
      <c r="AO65" s="10" t="str">
        <f>IF(AP65="",INDEX(T,71,language),AP65)</f>
        <v>Second Round 8 Winner</v>
      </c>
      <c r="AP65" s="10">
        <f t="shared" si="20"/>
      </c>
      <c r="AQ65" s="10">
        <f t="shared" si="21"/>
        <v>0</v>
      </c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</row>
    <row r="66" spans="88:109" ht="13.5" customHeight="1"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</row>
    <row r="67" spans="1:109" ht="13.5" customHeight="1">
      <c r="A67" s="29" t="str">
        <f>INDEX(T,43,language)</f>
        <v>Quarter Finals</v>
      </c>
      <c r="B67" s="29"/>
      <c r="C67" s="29"/>
      <c r="D67" s="29"/>
      <c r="E67" s="29"/>
      <c r="F67" s="29"/>
      <c r="G67" s="29"/>
      <c r="H67" s="29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</row>
    <row r="68" spans="1:109" ht="13.5" customHeight="1">
      <c r="A68" s="29"/>
      <c r="B68" s="29"/>
      <c r="C68" s="29"/>
      <c r="D68" s="29"/>
      <c r="E68" s="29"/>
      <c r="F68" s="29"/>
      <c r="G68" s="29"/>
      <c r="H68" s="29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</row>
    <row r="69" spans="1:109" ht="13.5" customHeight="1">
      <c r="A69" s="63">
        <v>39996</v>
      </c>
      <c r="B69" s="36"/>
      <c r="C69" s="64" t="str">
        <f>AO58</f>
        <v>Second Round 1 Winner</v>
      </c>
      <c r="D69" s="65"/>
      <c r="E69" s="65"/>
      <c r="F69" s="66" t="str">
        <f>AO59</f>
        <v>Second Round 2 Winner</v>
      </c>
      <c r="G69" s="65"/>
      <c r="H69" s="65"/>
      <c r="AO69" s="10" t="str">
        <f>IF(AP69="",INDEX(T,72,language),AP69)</f>
        <v>Quarter Final 1 Winner</v>
      </c>
      <c r="AP69" s="10">
        <f>IF(D69="","",IF(E69="","",IF(D69&gt;E69,C69,IF(D69&lt;E69,F69,AQ69))))</f>
      </c>
      <c r="AQ69" s="10">
        <f>IF(G69="","",IF(H69="","",IF(G69&gt;H69,C69,IF(G69&lt;H69,F69,""))))</f>
        <v>0</v>
      </c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</row>
    <row r="70" spans="1:109" ht="13.5" customHeight="1">
      <c r="A70" s="63">
        <v>39996</v>
      </c>
      <c r="B70" s="36"/>
      <c r="C70" s="64" t="str">
        <f>AO62</f>
        <v>Second Round 5 Winner</v>
      </c>
      <c r="D70" s="65"/>
      <c r="E70" s="65"/>
      <c r="F70" s="66" t="str">
        <f>AO63</f>
        <v>Second Round 6 Winner</v>
      </c>
      <c r="G70" s="65"/>
      <c r="H70" s="65"/>
      <c r="AO70" s="10" t="str">
        <f>IF(AP70="",INDEX(T,73,language),AP70)</f>
        <v>Quarter Final 2 Winner</v>
      </c>
      <c r="AP70" s="10">
        <f>IF(D70="","",IF(E70="","",IF(D70&gt;E70,C70,IF(D70&lt;E70,F70,AQ70))))</f>
      </c>
      <c r="AQ70" s="10">
        <f>IF(G70="","",IF(H70="","",IF(G70&gt;H70,C70,IF(G70&lt;H70,F70,""))))</f>
        <v>0</v>
      </c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</row>
    <row r="71" spans="1:109" ht="13.5" customHeight="1">
      <c r="A71" s="63">
        <v>39997</v>
      </c>
      <c r="B71" s="36"/>
      <c r="C71" s="64" t="str">
        <f>AO60</f>
        <v>Second Round 3 Winner</v>
      </c>
      <c r="D71" s="65"/>
      <c r="E71" s="65"/>
      <c r="F71" s="66" t="str">
        <f>AO61</f>
        <v>Second Round 4 Winner</v>
      </c>
      <c r="G71" s="65"/>
      <c r="H71" s="65"/>
      <c r="AO71" s="10" t="str">
        <f>IF(AP71="",INDEX(T,74,language),AP71)</f>
        <v>Quarter Final 3 Winner</v>
      </c>
      <c r="AP71" s="10">
        <f>IF(D71="","",IF(E71="","",IF(D71&gt;E71,C71,IF(D71&lt;E71,F71,AQ71))))</f>
      </c>
      <c r="AQ71" s="10">
        <f>IF(G71="","",IF(H71="","",IF(G71&gt;H71,C71,IF(G71&lt;H71,F71,""))))</f>
        <v>0</v>
      </c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</row>
    <row r="72" spans="1:109" ht="13.5" customHeight="1">
      <c r="A72" s="63">
        <v>39997</v>
      </c>
      <c r="B72" s="36"/>
      <c r="C72" s="64" t="str">
        <f>AO64</f>
        <v>Second Round 7 Winner</v>
      </c>
      <c r="D72" s="65"/>
      <c r="E72" s="65"/>
      <c r="F72" s="66" t="str">
        <f>AO65</f>
        <v>Second Round 8 Winner</v>
      </c>
      <c r="G72" s="65"/>
      <c r="H72" s="65"/>
      <c r="AO72" s="10" t="str">
        <f>IF(AP72="",INDEX(T,75,language),AP72)</f>
        <v>Quarter Final 4 Winner</v>
      </c>
      <c r="AP72" s="10">
        <f>IF(D72="","",IF(E72="","",IF(D72&gt;E72,C72,IF(D72&lt;E72,F72,AQ72))))</f>
      </c>
      <c r="AQ72" s="10">
        <f>IF(G72="","",IF(H72="","",IF(G72&gt;H72,C72,IF(G72&lt;H72,F72,""))))</f>
        <v>0</v>
      </c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</row>
    <row r="73" spans="88:109" ht="13.5" customHeight="1"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</row>
    <row r="74" spans="1:109" ht="13.5" customHeight="1">
      <c r="A74" s="29" t="str">
        <f>INDEX(T,44,language)</f>
        <v>Semi Finals</v>
      </c>
      <c r="B74" s="29"/>
      <c r="C74" s="29"/>
      <c r="D74" s="29"/>
      <c r="E74" s="29"/>
      <c r="F74" s="29"/>
      <c r="G74" s="29"/>
      <c r="H74" s="29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</row>
    <row r="75" spans="1:109" ht="13.5" customHeight="1">
      <c r="A75" s="29"/>
      <c r="B75" s="29"/>
      <c r="C75" s="29"/>
      <c r="D75" s="29"/>
      <c r="E75" s="29"/>
      <c r="F75" s="29"/>
      <c r="G75" s="29"/>
      <c r="H75" s="29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</row>
    <row r="76" spans="1:109" ht="13.5" customHeight="1">
      <c r="A76" s="63">
        <v>40000</v>
      </c>
      <c r="B76" s="36"/>
      <c r="C76" s="64" t="str">
        <f>AO69</f>
        <v>Quarter Final 1 Winner</v>
      </c>
      <c r="D76" s="65"/>
      <c r="E76" s="65"/>
      <c r="F76" s="66" t="str">
        <f>AO70</f>
        <v>Quarter Final 2 Winner</v>
      </c>
      <c r="G76" s="65"/>
      <c r="H76" s="65"/>
      <c r="AO76" s="10" t="str">
        <f>IF(AP76="",INDEX(T,76,language),AP76)</f>
        <v>Semi Final 1 Winner</v>
      </c>
      <c r="AP76" s="10">
        <f>IF(D76="","",IF(E76="","",IF(D76&gt;E76,C76,IF(D76&lt;E76,F76,AS76))))</f>
      </c>
      <c r="AQ76" s="10" t="str">
        <f>IF(AR76="",INDEX(T,78,language),AR76)</f>
        <v>Semi Final 1 Loser</v>
      </c>
      <c r="AR76" s="10">
        <f>IF(D76="","",IF(E76="","",IF(D76&gt;E76,F76,IF(D76&lt;E76,C76,AT76))))</f>
      </c>
      <c r="AS76" s="10">
        <f>IF(G76="","",IF(H76="","",IF(G76&gt;H76,C76,IF(G76&lt;H76,F76,""))))</f>
        <v>0</v>
      </c>
      <c r="AT76" s="10">
        <f>IF(G76="","",IF(H76="","",IF(G76&gt;H76,F76,IF(G76&lt;H76,C76,""))))</f>
        <v>0</v>
      </c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</row>
    <row r="77" spans="1:109" ht="13.5" customHeight="1">
      <c r="A77" s="63">
        <v>40001</v>
      </c>
      <c r="B77" s="36"/>
      <c r="C77" s="64" t="str">
        <f>AO71</f>
        <v>Quarter Final 3 Winner</v>
      </c>
      <c r="D77" s="65"/>
      <c r="E77" s="65"/>
      <c r="F77" s="66" t="str">
        <f>AO72</f>
        <v>Quarter Final 4 Winner</v>
      </c>
      <c r="G77" s="65"/>
      <c r="H77" s="65"/>
      <c r="AO77" s="10" t="str">
        <f>IF(AP77="",INDEX(T,77,language),AP77)</f>
        <v>Semi Final 2 Winner</v>
      </c>
      <c r="AP77" s="10">
        <f>IF(D77="","",IF(E77="","",IF(D77&gt;E77,C77,IF(D77&lt;E77,F77,AS77))))</f>
      </c>
      <c r="AQ77" s="10" t="str">
        <f>IF(AR77="",INDEX(T,79,language),AR77)</f>
        <v>Semi Final 2 Loser</v>
      </c>
      <c r="AR77" s="10">
        <f>IF(D77="","",IF(E77="","",IF(D77&gt;E77,F77,IF(D77&lt;E77,C77,AT77))))</f>
      </c>
      <c r="AS77" s="10">
        <f>IF(G77="","",IF(H77="","",IF(G77&gt;H77,C77,IF(G77&lt;H77,F77,""))))</f>
        <v>0</v>
      </c>
      <c r="AT77" s="10">
        <f>IF(G77="","",IF(H77="","",IF(G77&gt;H77,F77,IF(G77&lt;H77,C77,""))))</f>
        <v>0</v>
      </c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</row>
    <row r="78" spans="88:109" ht="13.5" customHeight="1"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</row>
    <row r="79" spans="1:109" ht="13.5" customHeight="1">
      <c r="A79" s="29" t="str">
        <f>INDEX(T,45,language)</f>
        <v>Third Place Play-Off</v>
      </c>
      <c r="B79" s="29"/>
      <c r="C79" s="29"/>
      <c r="D79" s="29"/>
      <c r="E79" s="29"/>
      <c r="F79" s="29"/>
      <c r="G79" s="29"/>
      <c r="H79" s="29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</row>
    <row r="80" spans="1:109" ht="13.5" customHeight="1">
      <c r="A80" s="29"/>
      <c r="B80" s="29"/>
      <c r="C80" s="29"/>
      <c r="D80" s="29"/>
      <c r="E80" s="29"/>
      <c r="F80" s="29"/>
      <c r="G80" s="29"/>
      <c r="H80" s="29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</row>
    <row r="81" spans="1:109" ht="13.5" customHeight="1">
      <c r="A81" s="63">
        <v>40004</v>
      </c>
      <c r="B81" s="36"/>
      <c r="C81" s="64" t="str">
        <f>AQ76</f>
        <v>Semi Final 1 Loser</v>
      </c>
      <c r="D81" s="65"/>
      <c r="E81" s="65"/>
      <c r="F81" s="66" t="str">
        <f>AQ77</f>
        <v>Semi Final 2 Loser</v>
      </c>
      <c r="G81" s="65"/>
      <c r="H81" s="65"/>
      <c r="J81" s="67"/>
      <c r="K81" s="68"/>
      <c r="L81" s="68"/>
      <c r="M81" s="68"/>
      <c r="N81" s="68"/>
      <c r="O81" s="68"/>
      <c r="P81" s="68"/>
      <c r="AO81" s="10" t="str">
        <f>IF(AP81="","Third Place",AP81)</f>
        <v>Third Place</v>
      </c>
      <c r="AP81" s="10">
        <f>IF(D81="","",IF(E81="","",IF(D81&gt;E81,C81,IF(D81&lt;E81,F81,AQ81))))</f>
      </c>
      <c r="AQ81" s="10">
        <f>IF(G81="","",IF(H81="","",IF(G81&gt;H81,C81,IF(G81&lt;H81,F81,""))))</f>
        <v>0</v>
      </c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</row>
    <row r="82" spans="10:109" ht="13.5" customHeight="1">
      <c r="J82" s="67"/>
      <c r="K82" s="68"/>
      <c r="L82" s="68"/>
      <c r="M82" s="68"/>
      <c r="N82" s="68"/>
      <c r="O82" s="68"/>
      <c r="P82" s="68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</row>
    <row r="83" spans="1:109" ht="13.5" customHeight="1">
      <c r="A83" s="29" t="str">
        <f>INDEX(T,46,language)</f>
        <v>Final</v>
      </c>
      <c r="B83" s="29"/>
      <c r="C83" s="29"/>
      <c r="D83" s="29"/>
      <c r="E83" s="29"/>
      <c r="F83" s="29"/>
      <c r="G83" s="29"/>
      <c r="H83" s="29"/>
      <c r="J83" s="69"/>
      <c r="K83" s="69"/>
      <c r="L83" s="68"/>
      <c r="M83" s="69"/>
      <c r="N83" s="69"/>
      <c r="O83" s="69"/>
      <c r="P83" s="69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</row>
    <row r="84" spans="1:109" ht="13.5" customHeight="1">
      <c r="A84" s="29"/>
      <c r="B84" s="29"/>
      <c r="C84" s="29"/>
      <c r="D84" s="29"/>
      <c r="E84" s="29"/>
      <c r="F84" s="29"/>
      <c r="G84" s="29"/>
      <c r="H84" s="29"/>
      <c r="J84" s="67"/>
      <c r="K84" s="68"/>
      <c r="L84" s="68"/>
      <c r="M84" s="68"/>
      <c r="N84" s="68"/>
      <c r="O84" s="68"/>
      <c r="P84" s="68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</row>
    <row r="85" spans="1:109" ht="13.5" customHeight="1">
      <c r="A85" s="63">
        <v>40005</v>
      </c>
      <c r="B85" s="36"/>
      <c r="C85" s="64" t="str">
        <f>AO76</f>
        <v>Semi Final 1 Winner</v>
      </c>
      <c r="D85" s="65"/>
      <c r="E85" s="65"/>
      <c r="F85" s="66" t="str">
        <f>AO77</f>
        <v>Semi Final 2 Winner</v>
      </c>
      <c r="G85" s="65"/>
      <c r="H85" s="65"/>
      <c r="J85" s="69"/>
      <c r="K85" s="69"/>
      <c r="L85" s="68"/>
      <c r="M85" s="69"/>
      <c r="N85" s="69"/>
      <c r="O85" s="69"/>
      <c r="P85" s="69"/>
      <c r="AO85" s="10">
        <f>IF(AP85="","",AP85)</f>
      </c>
      <c r="AP85" s="10">
        <f>IF(D85="","",IF(E85="","",IF(D85&gt;E85,C85,IF(D85&lt;E85,F85,AQ85))))</f>
      </c>
      <c r="AQ85" s="10">
        <f>IF(G85="","",IF(H85="","",IF(G85&gt;H85,C85,IF(G85&lt;H85,F85,""))))</f>
        <v>0</v>
      </c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</row>
    <row r="86" spans="1:109" ht="12.75">
      <c r="A86" s="58"/>
      <c r="B86" s="70"/>
      <c r="C86" s="60"/>
      <c r="D86" s="61"/>
      <c r="E86" s="61"/>
      <c r="F86" s="62"/>
      <c r="J86" s="67"/>
      <c r="K86" s="68"/>
      <c r="L86" s="68"/>
      <c r="M86" s="68"/>
      <c r="N86" s="68"/>
      <c r="O86" s="68"/>
      <c r="P86" s="68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</row>
    <row r="87" spans="1:109" ht="21" customHeight="1">
      <c r="A87" s="71" t="s">
        <v>118</v>
      </c>
      <c r="B87" s="71"/>
      <c r="C87" s="71"/>
      <c r="D87" s="72">
        <f>AO85</f>
      </c>
      <c r="E87" s="72"/>
      <c r="F87" s="72"/>
      <c r="G87" s="72"/>
      <c r="H87" s="72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</row>
    <row r="88" spans="88:109" ht="12.75"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</row>
    <row r="89" spans="88:109" ht="12.75"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</row>
    <row r="90" spans="88:109" ht="12.75"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</row>
  </sheetData>
  <sheetProtection password="EDE7" sheet="1"/>
  <mergeCells count="74">
    <mergeCell ref="R1:R4"/>
    <mergeCell ref="G2:P2"/>
    <mergeCell ref="F3:P3"/>
    <mergeCell ref="F4:P4"/>
    <mergeCell ref="A5:H6"/>
    <mergeCell ref="J5:J6"/>
    <mergeCell ref="K5:K6"/>
    <mergeCell ref="L5:L6"/>
    <mergeCell ref="M5:M6"/>
    <mergeCell ref="N5:N6"/>
    <mergeCell ref="O5:O6"/>
    <mergeCell ref="P5:P6"/>
    <mergeCell ref="S5:S6"/>
    <mergeCell ref="T5:T6"/>
    <mergeCell ref="J12:J13"/>
    <mergeCell ref="K12:K13"/>
    <mergeCell ref="L12:L13"/>
    <mergeCell ref="M12:M13"/>
    <mergeCell ref="N12:N13"/>
    <mergeCell ref="O12:O13"/>
    <mergeCell ref="P12:P13"/>
    <mergeCell ref="J19:J20"/>
    <mergeCell ref="K19:K20"/>
    <mergeCell ref="L19:L20"/>
    <mergeCell ref="M19:M20"/>
    <mergeCell ref="N19:N20"/>
    <mergeCell ref="O19:O20"/>
    <mergeCell ref="P19:P20"/>
    <mergeCell ref="J26:J27"/>
    <mergeCell ref="K26:K27"/>
    <mergeCell ref="L26:L27"/>
    <mergeCell ref="M26:M27"/>
    <mergeCell ref="N26:N27"/>
    <mergeCell ref="O26:O27"/>
    <mergeCell ref="P26:P27"/>
    <mergeCell ref="J33:J34"/>
    <mergeCell ref="K33:K34"/>
    <mergeCell ref="L33:L34"/>
    <mergeCell ref="M33:M34"/>
    <mergeCell ref="N33:N34"/>
    <mergeCell ref="O33:O34"/>
    <mergeCell ref="P33:P34"/>
    <mergeCell ref="J40:J41"/>
    <mergeCell ref="K40:K41"/>
    <mergeCell ref="L40:L41"/>
    <mergeCell ref="M40:M41"/>
    <mergeCell ref="N40:N41"/>
    <mergeCell ref="O40:O41"/>
    <mergeCell ref="P40:P41"/>
    <mergeCell ref="J47:J48"/>
    <mergeCell ref="K47:K48"/>
    <mergeCell ref="L47:L48"/>
    <mergeCell ref="M47:M48"/>
    <mergeCell ref="N47:N48"/>
    <mergeCell ref="O47:O48"/>
    <mergeCell ref="P47:P48"/>
    <mergeCell ref="J54:J55"/>
    <mergeCell ref="K54:K55"/>
    <mergeCell ref="L54:L55"/>
    <mergeCell ref="M54:M55"/>
    <mergeCell ref="N54:N55"/>
    <mergeCell ref="O54:O55"/>
    <mergeCell ref="P54:P55"/>
    <mergeCell ref="A56:H57"/>
    <mergeCell ref="A67:H68"/>
    <mergeCell ref="A74:H75"/>
    <mergeCell ref="A79:H80"/>
    <mergeCell ref="A83:H84"/>
    <mergeCell ref="J83:K83"/>
    <mergeCell ref="M83:P83"/>
    <mergeCell ref="J85:K85"/>
    <mergeCell ref="M85:P85"/>
    <mergeCell ref="A87:C87"/>
    <mergeCell ref="D87:H87"/>
  </mergeCells>
  <conditionalFormatting sqref="C58:C65 C69:C72 C76:C77 C81 F58:F65 F69:F72 F76:F77 F81">
    <cfRule type="cellIs" priority="1" dxfId="0" operator="equal" stopIfTrue="1">
      <formula>'South Africa 2010'!$AO58</formula>
    </cfRule>
  </conditionalFormatting>
  <conditionalFormatting sqref="C7:C54">
    <cfRule type="expression" priority="2" dxfId="1" stopIfTrue="1">
      <formula>IF('South Africa 2010'!$AW7=CONCATENATE('South Africa 2010'!$C7,"_win"),1,0)</formula>
    </cfRule>
  </conditionalFormatting>
  <conditionalFormatting sqref="F7:F54">
    <cfRule type="expression" priority="3" dxfId="0" stopIfTrue="1">
      <formula>IF('South Africa 2010'!$AX7=CONCATENATE('South Africa 2010'!$F7,"_win"),1,0)</formula>
    </cfRule>
  </conditionalFormatting>
  <conditionalFormatting sqref="D87:F87">
    <cfRule type="cellIs" priority="4" dxfId="2" operator="notEqual" stopIfTrue="1">
      <formula>"Final Winner"</formula>
    </cfRule>
  </conditionalFormatting>
  <conditionalFormatting sqref="C85 F85">
    <cfRule type="cellIs" priority="5" dxfId="0" operator="equal" stopIfTrue="1">
      <formula>'South Africa 2010'!$AO$85</formula>
    </cfRule>
  </conditionalFormatting>
  <conditionalFormatting sqref="J7:O10">
    <cfRule type="expression" priority="6" dxfId="3" stopIfTrue="1">
      <formula>IF('South Africa 2010'!$J7='South Africa 2010'!$AE$7,1,IF('South Africa 2010'!$J7='South Africa 2010'!$AE$8,1,0))</formula>
    </cfRule>
  </conditionalFormatting>
  <conditionalFormatting sqref="J14:O17">
    <cfRule type="expression" priority="7" dxfId="3" stopIfTrue="1">
      <formula>IF('South Africa 2010'!$J14='South Africa 2010'!$AE$14,1,IF('South Africa 2010'!$J14='South Africa 2010'!$AE$15,1,0))</formula>
    </cfRule>
  </conditionalFormatting>
  <conditionalFormatting sqref="J21:O24">
    <cfRule type="expression" priority="8" dxfId="3" stopIfTrue="1">
      <formula>IF('South Africa 2010'!$J21='South Africa 2010'!$AE$21,1,IF('South Africa 2010'!$J21='South Africa 2010'!$AE$22,1,0))</formula>
    </cfRule>
  </conditionalFormatting>
  <conditionalFormatting sqref="J28:O31">
    <cfRule type="expression" priority="9" dxfId="3" stopIfTrue="1">
      <formula>IF('South Africa 2010'!$J28='South Africa 2010'!$AE$28,1,IF('South Africa 2010'!$J28='South Africa 2010'!$AE$29,1,0))</formula>
    </cfRule>
  </conditionalFormatting>
  <conditionalFormatting sqref="J35:O38">
    <cfRule type="expression" priority="10" dxfId="3" stopIfTrue="1">
      <formula>IF('South Africa 2010'!$J35='South Africa 2010'!$AE$35,1,IF('South Africa 2010'!$J35='South Africa 2010'!$AE$36,1,0))</formula>
    </cfRule>
  </conditionalFormatting>
  <conditionalFormatting sqref="J42:O45">
    <cfRule type="expression" priority="11" dxfId="3" stopIfTrue="1">
      <formula>IF('South Africa 2010'!$J42='South Africa 2010'!$AE$42,1,IF('South Africa 2010'!$J42='South Africa 2010'!$AE$43,1,0))</formula>
    </cfRule>
  </conditionalFormatting>
  <conditionalFormatting sqref="J49:O52">
    <cfRule type="expression" priority="12" dxfId="3" stopIfTrue="1">
      <formula>IF('South Africa 2010'!$J49='South Africa 2010'!$AE$49,1,IF('South Africa 2010'!$J49='South Africa 2010'!$AE$50,1,0))</formula>
    </cfRule>
  </conditionalFormatting>
  <conditionalFormatting sqref="J56:O59">
    <cfRule type="expression" priority="13" dxfId="3" stopIfTrue="1">
      <formula>IF('South Africa 2010'!$J56='South Africa 2010'!$AE$56,1,IF('South Africa 2010'!$J56='South Africa 2010'!$AE$57,1,0))</formula>
    </cfRule>
  </conditionalFormatting>
  <hyperlinks>
    <hyperlink ref="F3" r:id="rId1" display="TRY THE FOOTBALL MANAGER 2010 DEMO  HERE - FOR FREE!"/>
  </hyperlinks>
  <printOptions horizontalCentered="1"/>
  <pageMargins left="0.5902777777777778" right="0.5902777777777778" top="0.5902777777777778" bottom="0.5909722222222222" header="0.5118055555555555" footer="0.31527777777777777"/>
  <pageSetup fitToHeight="1" fitToWidth="1" horizontalDpi="300" verticalDpi="300" orientation="portrait" paperSize="9"/>
  <headerFooter alignWithMargins="0">
    <oddFooter>&amp;CExcely.com (c) 2006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3"/>
  <sheetViews>
    <sheetView workbookViewId="0" topLeftCell="A1">
      <pane ySplit="1" topLeftCell="A32" activePane="bottomLeft" state="frozen"/>
      <selection pane="topLeft" activeCell="A1" sqref="A1"/>
      <selection pane="bottomLeft" activeCell="A80" sqref="A80"/>
    </sheetView>
  </sheetViews>
  <sheetFormatPr defaultColWidth="20.57421875" defaultRowHeight="12"/>
  <cols>
    <col min="1" max="14" width="20.140625" style="0" customWidth="1"/>
    <col min="15" max="40" width="20.140625" style="73" customWidth="1"/>
    <col min="41" max="42" width="19.421875" style="74" customWidth="1"/>
    <col min="43" max="16384" width="20.140625" style="0" customWidth="1"/>
  </cols>
  <sheetData>
    <row r="1" spans="1:42" s="75" customFormat="1" ht="12.75">
      <c r="A1" s="75" t="s">
        <v>15</v>
      </c>
      <c r="AO1" s="76"/>
      <c r="AP1" s="76"/>
    </row>
    <row r="2" spans="15:44" ht="12.75"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Q2" s="77"/>
      <c r="AR2" s="78"/>
    </row>
    <row r="3" spans="15:44" ht="12.75"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P3" s="79"/>
      <c r="AQ3" s="77"/>
      <c r="AR3" s="78"/>
    </row>
    <row r="4" spans="15:44" ht="12.75"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P4" s="79"/>
      <c r="AQ4" s="77"/>
      <c r="AR4" s="78"/>
    </row>
    <row r="5" spans="15:44" ht="12.75"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P5" s="79"/>
      <c r="AQ5" s="77"/>
      <c r="AR5" s="78"/>
    </row>
    <row r="6" spans="15:44" ht="12.75"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P6" s="79"/>
      <c r="AQ6" s="77"/>
      <c r="AR6" s="78"/>
    </row>
    <row r="7" spans="15:44" ht="12.75"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P7" s="79"/>
      <c r="AQ7" s="77"/>
      <c r="AR7" s="78"/>
    </row>
    <row r="8" spans="15:44" ht="12.75"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P8" s="79"/>
      <c r="AQ8" s="77"/>
      <c r="AR8" s="78"/>
    </row>
    <row r="9" spans="9:44" ht="12.75">
      <c r="I9" s="80"/>
      <c r="J9" s="80"/>
      <c r="K9" s="80"/>
      <c r="L9" s="80"/>
      <c r="M9" s="80"/>
      <c r="O9"/>
      <c r="P9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1"/>
      <c r="AL9" s="81"/>
      <c r="AM9" s="81"/>
      <c r="AN9" s="81"/>
      <c r="AP9" s="79"/>
      <c r="AQ9" s="82"/>
      <c r="AR9" s="83"/>
    </row>
    <row r="10" spans="15:44" ht="12.75"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P10" s="79"/>
      <c r="AQ10" s="77"/>
      <c r="AR10" s="78"/>
    </row>
    <row r="11" spans="15:44" ht="12.75"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P11" s="79"/>
      <c r="AQ11" s="77"/>
      <c r="AR11" s="78"/>
    </row>
    <row r="12" spans="15:44" ht="12.75"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P12" s="79"/>
      <c r="AQ12" s="77"/>
      <c r="AR12" s="78"/>
    </row>
    <row r="13" spans="15:44" ht="12.75"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 s="81"/>
      <c r="AL13" s="81"/>
      <c r="AM13" s="81"/>
      <c r="AN13" s="81"/>
      <c r="AP13" s="79"/>
      <c r="AQ13" s="77"/>
      <c r="AR13" s="78"/>
    </row>
    <row r="14" spans="15:44" ht="12.75"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P14" s="79"/>
      <c r="AQ14" s="77"/>
      <c r="AR14" s="78"/>
    </row>
    <row r="15" spans="15:44" ht="12.75"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P15" s="79"/>
      <c r="AQ15" s="77"/>
      <c r="AR15" s="78"/>
    </row>
    <row r="16" spans="15:44" ht="12.75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P16" s="79"/>
      <c r="AQ16" s="77"/>
      <c r="AR16" s="78"/>
    </row>
    <row r="17" spans="15:44" ht="12.75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P17" s="79"/>
      <c r="AQ17" s="77"/>
      <c r="AR17" s="78"/>
    </row>
    <row r="18" spans="15:44" ht="12.75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P18" s="79"/>
      <c r="AQ18" s="77"/>
      <c r="AR18" s="78"/>
    </row>
    <row r="19" spans="15:44" ht="12.75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P19" s="79"/>
      <c r="AQ19" s="77"/>
      <c r="AR19" s="78"/>
    </row>
    <row r="20" spans="15:44" ht="12.75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P20" s="79"/>
      <c r="AQ20" s="77"/>
      <c r="AR20" s="78"/>
    </row>
    <row r="21" spans="15:44" ht="12.75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P21" s="79"/>
      <c r="AQ21" s="77"/>
      <c r="AR21" s="78"/>
    </row>
    <row r="22" spans="15:44" ht="12.75"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s="81"/>
      <c r="AL22" s="81"/>
      <c r="AM22" s="81"/>
      <c r="AN22" s="81"/>
      <c r="AP22" s="79"/>
      <c r="AQ22" s="77"/>
      <c r="AR22" s="78"/>
    </row>
    <row r="23" spans="15:44" ht="12.75"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P23" s="79"/>
      <c r="AQ23" s="77"/>
      <c r="AR23" s="78"/>
    </row>
    <row r="24" spans="15:44" ht="12.75"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P24" s="79"/>
      <c r="AQ24" s="77"/>
      <c r="AR24" s="78"/>
    </row>
    <row r="25" spans="15:44" ht="12.75"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P25" s="79"/>
      <c r="AQ25" s="77"/>
      <c r="AR25" s="78"/>
    </row>
    <row r="26" spans="15:44" ht="12.75"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P26" s="79"/>
      <c r="AQ26" s="77"/>
      <c r="AR26" s="78"/>
    </row>
    <row r="27" spans="15:44" ht="12.75"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P27" s="79"/>
      <c r="AQ27" s="77"/>
      <c r="AR27" s="78"/>
    </row>
    <row r="28" spans="15:44" ht="12.75"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P28" s="79"/>
      <c r="AQ28" s="77"/>
      <c r="AR28" s="78"/>
    </row>
    <row r="29" spans="15:44" ht="12.75"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P29" s="79"/>
      <c r="AQ29" s="77"/>
      <c r="AR29" s="78"/>
    </row>
    <row r="30" spans="15:44" ht="12.75"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P30" s="79"/>
      <c r="AQ30" s="77"/>
      <c r="AR30" s="78"/>
    </row>
    <row r="31" spans="15:44" ht="12.75"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P31" s="79"/>
      <c r="AQ31" s="77"/>
      <c r="AR31" s="78"/>
    </row>
    <row r="32" spans="15:44" ht="12.75"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P32" s="79"/>
      <c r="AQ32" s="77"/>
      <c r="AR32" s="78"/>
    </row>
    <row r="33" spans="15:44" ht="12.75"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P33" s="79"/>
      <c r="AQ33" s="77"/>
      <c r="AR33" s="78"/>
    </row>
    <row r="34" spans="15:44" ht="12.75"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P34" s="79"/>
      <c r="AQ34" s="77"/>
      <c r="AR34" s="78"/>
    </row>
    <row r="35" spans="1:44" ht="12.75">
      <c r="A35" t="s">
        <v>119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O35" s="84"/>
      <c r="AP35" s="79"/>
      <c r="AQ35" s="77"/>
      <c r="AR35" s="78"/>
    </row>
    <row r="36" spans="1:44" ht="12.75">
      <c r="A36" t="s">
        <v>120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O36" s="84"/>
      <c r="AP36" s="79"/>
      <c r="AQ36" s="77"/>
      <c r="AR36" s="78"/>
    </row>
    <row r="37" spans="1:44" ht="12.75">
      <c r="A37" t="s">
        <v>121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O37" s="84"/>
      <c r="AP37" s="79"/>
      <c r="AQ37" s="77"/>
      <c r="AR37" s="78"/>
    </row>
    <row r="38" spans="1:44" ht="12.75">
      <c r="A38" t="s">
        <v>122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O38" s="84"/>
      <c r="AP38" s="79"/>
      <c r="AQ38" s="77"/>
      <c r="AR38" s="78"/>
    </row>
    <row r="39" spans="1:44" ht="12.75">
      <c r="A39" t="s">
        <v>12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O39" s="84"/>
      <c r="AP39" s="79"/>
      <c r="AQ39" s="77"/>
      <c r="AR39" s="78"/>
    </row>
    <row r="40" spans="1:44" ht="12.75">
      <c r="A40" t="s">
        <v>123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O40" s="84"/>
      <c r="AP40" s="79"/>
      <c r="AQ40" s="77"/>
      <c r="AR40" s="78"/>
    </row>
    <row r="41" spans="1:44" ht="12.75">
      <c r="A41" t="s">
        <v>124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O41" s="84"/>
      <c r="AP41" s="84"/>
      <c r="AQ41" s="77"/>
      <c r="AR41" s="78"/>
    </row>
    <row r="42" spans="1:44" ht="12.75">
      <c r="A42" t="s">
        <v>125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O42" s="84"/>
      <c r="AP42" s="84"/>
      <c r="AQ42" s="77"/>
      <c r="AR42" s="78"/>
    </row>
    <row r="43" spans="1:44" ht="12.75">
      <c r="A43" t="s">
        <v>126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O43" s="84"/>
      <c r="AP43" s="84"/>
      <c r="AQ43" s="77"/>
      <c r="AR43" s="78"/>
    </row>
    <row r="44" spans="1:44" ht="12.75">
      <c r="A44" t="s">
        <v>127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O44" s="84"/>
      <c r="AP44" s="79"/>
      <c r="AQ44" s="77"/>
      <c r="AR44" s="78"/>
    </row>
    <row r="45" spans="1:44" ht="12.75">
      <c r="A45" t="s">
        <v>128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O45" s="84"/>
      <c r="AP45" s="79"/>
      <c r="AQ45" s="77"/>
      <c r="AR45" s="78"/>
    </row>
    <row r="46" spans="1:44" ht="12.75">
      <c r="A46" t="s">
        <v>129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O46" s="84"/>
      <c r="AP46" s="79"/>
      <c r="AQ46" s="77"/>
      <c r="AR46" s="78"/>
    </row>
    <row r="47" spans="1:44" ht="12.75">
      <c r="A47" t="s">
        <v>130</v>
      </c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Q47" s="77"/>
      <c r="AR47" s="78"/>
    </row>
    <row r="48" spans="1:44" ht="12.75">
      <c r="A48" t="s">
        <v>131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Q48" s="77"/>
      <c r="AR48" s="78"/>
    </row>
    <row r="49" spans="1:44" ht="12.75">
      <c r="A49" t="s">
        <v>132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Q49" s="77"/>
      <c r="AR49" s="78"/>
    </row>
    <row r="50" spans="1:44" ht="12.75">
      <c r="A50" t="s">
        <v>133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Q50" s="77"/>
      <c r="AR50" s="78"/>
    </row>
    <row r="51" spans="1:44" ht="12.75">
      <c r="A51" t="s">
        <v>134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Q51" s="77"/>
      <c r="AR51" s="78"/>
    </row>
    <row r="52" spans="1:44" ht="12.75">
      <c r="A52" t="s">
        <v>135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Q52" s="77"/>
      <c r="AR52" s="78"/>
    </row>
    <row r="53" spans="1:44" ht="12.75">
      <c r="A53" t="s">
        <v>136</v>
      </c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Q53" s="77"/>
      <c r="AR53" s="78"/>
    </row>
    <row r="54" spans="1:44" ht="12.75">
      <c r="A54" t="s">
        <v>137</v>
      </c>
      <c r="D54" s="85"/>
      <c r="E54" s="85"/>
      <c r="F54" s="85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Q54" s="77"/>
      <c r="AR54" s="78"/>
    </row>
    <row r="55" spans="1:44" ht="12.75">
      <c r="A55" t="s">
        <v>138</v>
      </c>
      <c r="D55" s="85"/>
      <c r="E55" s="85"/>
      <c r="F55" s="8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Q55" s="77"/>
      <c r="AR55" s="78"/>
    </row>
    <row r="56" spans="1:44" ht="12.75">
      <c r="A56" t="s">
        <v>139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Q56" s="77"/>
      <c r="AR56" s="78"/>
    </row>
    <row r="57" spans="1:44" ht="12.75">
      <c r="A57" t="s">
        <v>140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Q57" s="77"/>
      <c r="AR57" s="78"/>
    </row>
    <row r="58" spans="1:44" ht="12.75">
      <c r="A58" t="s">
        <v>141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Q58" s="77"/>
      <c r="AR58" s="78"/>
    </row>
    <row r="59" spans="1:44" ht="12.75">
      <c r="A59" t="s">
        <v>142</v>
      </c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Q59" s="77"/>
      <c r="AR59" s="78"/>
    </row>
    <row r="60" spans="1:44" ht="12.75">
      <c r="A60" t="s">
        <v>143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Q60" s="77"/>
      <c r="AR60" s="78"/>
    </row>
    <row r="61" spans="1:44" ht="12.75">
      <c r="A61" t="s">
        <v>144</v>
      </c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Q61" s="77"/>
      <c r="AR61" s="78"/>
    </row>
    <row r="62" spans="1:44" ht="12.75">
      <c r="A62" t="s">
        <v>145</v>
      </c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Q62" s="77"/>
      <c r="AR62" s="78"/>
    </row>
    <row r="63" spans="1:44" ht="12.75">
      <c r="A63" t="s">
        <v>146</v>
      </c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Q63" s="77"/>
      <c r="AR63" s="78"/>
    </row>
    <row r="64" spans="1:44" ht="12.75">
      <c r="A64" t="s">
        <v>147</v>
      </c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Q64" s="77"/>
      <c r="AR64" s="78"/>
    </row>
    <row r="65" spans="1:44" ht="12.75">
      <c r="A65" t="s">
        <v>148</v>
      </c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Q65" s="77"/>
      <c r="AR65" s="78"/>
    </row>
    <row r="66" spans="1:44" ht="12.75">
      <c r="A66" t="s">
        <v>149</v>
      </c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Q66" s="77"/>
      <c r="AR66" s="78"/>
    </row>
    <row r="67" spans="1:44" ht="12.75">
      <c r="A67" t="s">
        <v>150</v>
      </c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Q67" s="77"/>
      <c r="AR67" s="78"/>
    </row>
    <row r="68" spans="1:44" ht="12.75">
      <c r="A68" t="s">
        <v>151</v>
      </c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Q68" s="77"/>
      <c r="AR68" s="78"/>
    </row>
    <row r="69" spans="1:44" ht="12.75">
      <c r="A69" t="s">
        <v>152</v>
      </c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Q69" s="77"/>
      <c r="AR69" s="78"/>
    </row>
    <row r="70" spans="1:44" ht="12.75">
      <c r="A70" t="s">
        <v>153</v>
      </c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Q70" s="77"/>
      <c r="AR70" s="78"/>
    </row>
    <row r="71" spans="1:44" ht="12.75">
      <c r="A71" t="s">
        <v>154</v>
      </c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Q71" s="77"/>
      <c r="AR71" s="78"/>
    </row>
    <row r="72" spans="1:44" ht="12.75">
      <c r="A72" t="s">
        <v>155</v>
      </c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Q72" s="77"/>
      <c r="AR72" s="78"/>
    </row>
    <row r="73" spans="1:44" ht="12.75">
      <c r="A73" t="s">
        <v>156</v>
      </c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Q73" s="77"/>
      <c r="AR73" s="78"/>
    </row>
    <row r="74" spans="1:44" ht="12.75">
      <c r="A74" t="s">
        <v>157</v>
      </c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Q74" s="77"/>
      <c r="AR74" s="78"/>
    </row>
    <row r="75" spans="1:44" ht="12.75">
      <c r="A75" t="s">
        <v>158</v>
      </c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Q75" s="77"/>
      <c r="AR75" s="78"/>
    </row>
    <row r="76" spans="1:44" ht="12.75">
      <c r="A76" t="s">
        <v>159</v>
      </c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O76" s="84"/>
      <c r="AP76" s="79"/>
      <c r="AQ76" s="77"/>
      <c r="AR76" s="78"/>
    </row>
    <row r="77" spans="1:44" ht="12.75">
      <c r="A77" t="s">
        <v>160</v>
      </c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O77" s="84"/>
      <c r="AP77" s="79"/>
      <c r="AQ77" s="77"/>
      <c r="AR77" s="78"/>
    </row>
    <row r="78" spans="1:44" ht="12.75">
      <c r="A78" t="s">
        <v>161</v>
      </c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O78" s="84"/>
      <c r="AP78" s="79"/>
      <c r="AQ78" s="77"/>
      <c r="AR78" s="78"/>
    </row>
    <row r="79" spans="1:44" ht="12.75">
      <c r="A79" t="s">
        <v>162</v>
      </c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O79" s="84"/>
      <c r="AP79" s="79"/>
      <c r="AQ79" s="77"/>
      <c r="AR79" s="78"/>
    </row>
    <row r="80" spans="15:44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O80" s="84"/>
      <c r="AP80" s="79"/>
      <c r="AQ80" s="77"/>
      <c r="AR80" s="78"/>
    </row>
    <row r="81" spans="15:44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O81" s="84"/>
      <c r="AP81" s="79"/>
      <c r="AQ81" s="77"/>
      <c r="AR81" s="78"/>
    </row>
    <row r="82" spans="15:42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5:44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O83" s="84"/>
      <c r="AP83" s="79"/>
      <c r="AQ83" s="77"/>
      <c r="AR83" s="7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Kozyr</dc:creator>
  <cp:keywords/>
  <dc:description/>
  <cp:lastModifiedBy/>
  <cp:lastPrinted>2009-12-04T13:28:06Z</cp:lastPrinted>
  <dcterms:created xsi:type="dcterms:W3CDTF">2005-12-06T22:26:17Z</dcterms:created>
  <dcterms:modified xsi:type="dcterms:W3CDTF">2010-06-26T05:31:15Z</dcterms:modified>
  <cp:category/>
  <cp:version/>
  <cp:contentType/>
  <cp:contentStatus/>
  <cp:revision>2</cp:revision>
</cp:coreProperties>
</file>